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67Ak3u5W9+/UtBWNHYH+GYJGlUpln2e1P/QV7eoP9rFWOn+Da478EzzFjpLVfkPrGU13DER1mfBPO5qvC69ONw==" workbookSaltValue="rIoP3CTUwGm6yNlOd+S3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EP19" i="8"/>
  <c r="EP19" i="19"/>
  <c r="AT17" i="20"/>
  <c r="AL9" i="11"/>
  <c r="F9" i="2"/>
  <c r="N13" i="2"/>
  <c r="H13" i="12"/>
  <c r="T13" i="12"/>
  <c r="T13" i="16"/>
  <c r="T13" i="20"/>
  <c r="BB13" i="13"/>
  <c r="BD12" i="8"/>
  <c r="BF9" i="8"/>
  <c r="J18" i="17"/>
  <c r="BG15" i="13"/>
  <c r="BA18" i="13"/>
  <c r="BE15" i="13"/>
  <c r="AO20" i="20"/>
  <c r="AN20" i="20"/>
  <c r="Y20" i="20"/>
  <c r="U10" i="11"/>
  <c r="AH20" i="20"/>
  <c r="AL20" i="20"/>
  <c r="AB20" i="20"/>
  <c r="AJ19" i="8" l="1"/>
  <c r="BD16" i="8"/>
  <c r="T19" i="8"/>
  <c r="H12" i="7"/>
  <c r="AC10" i="11"/>
  <c r="AY13" i="8"/>
  <c r="AL12" i="11"/>
  <c r="E12" i="6"/>
  <c r="AO12" i="11"/>
  <c r="B10" i="6"/>
  <c r="H12" i="2"/>
  <c r="K15" i="7"/>
  <c r="L9" i="14"/>
  <c r="C10" i="6"/>
  <c r="I10" i="12" s="1"/>
  <c r="AO17" i="11"/>
  <c r="L16" i="14"/>
  <c r="L17" i="14"/>
  <c r="F15" i="17"/>
  <c r="AQ15" i="17" s="1"/>
  <c r="L12" i="14"/>
  <c r="AY13" i="13"/>
  <c r="BA13" i="13"/>
  <c r="R8" i="9"/>
  <c r="S16" i="14" s="1"/>
  <c r="V16" i="14" s="1"/>
  <c r="X12" i="17"/>
  <c r="AA11" i="16"/>
  <c r="S11" i="17"/>
  <c r="AZ17" i="11"/>
  <c r="X12" i="16"/>
  <c r="R10" i="14"/>
  <c r="S15" i="14"/>
  <c r="V15" i="14" s="1"/>
  <c r="AA15" i="16"/>
  <c r="T17" i="20"/>
  <c r="AA12" i="21"/>
  <c r="L11"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BE12" i="8"/>
  <c r="I12" i="7" s="1"/>
  <c r="BE15" i="8"/>
  <c r="AO15" i="17"/>
  <c r="C16" i="6"/>
  <c r="U19" i="8"/>
  <c r="Y19" i="8"/>
  <c r="AI19" i="8"/>
  <c r="BK19" i="8"/>
  <c r="B11" i="6"/>
  <c r="C12" i="14"/>
  <c r="K12" i="14" s="1"/>
  <c r="K18" i="11"/>
  <c r="E9" i="6"/>
  <c r="K9" i="12" s="1"/>
  <c r="H9" i="7"/>
  <c r="K9" i="7"/>
  <c r="AM9" i="11"/>
  <c r="AO11" i="11"/>
  <c r="AL11" i="11"/>
  <c r="AO15" i="11"/>
  <c r="H16" i="7"/>
  <c r="AN17" i="11"/>
  <c r="D15" i="6"/>
  <c r="AN11" i="11"/>
  <c r="M18" i="2"/>
  <c r="N18" i="2"/>
  <c r="BB19" i="19"/>
  <c r="CJ19" i="19"/>
  <c r="Y19" i="19"/>
  <c r="AG19" i="19"/>
  <c r="W13" i="17"/>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C13" i="6"/>
  <c r="F13" i="2"/>
  <c r="J13" i="2"/>
  <c r="V15" i="20"/>
  <c r="V18" i="20" s="1"/>
  <c r="S10" i="17"/>
  <c r="U10" i="21"/>
  <c r="X9" i="17"/>
  <c r="X16" i="17"/>
  <c r="R16" i="14"/>
  <c r="S10" i="14"/>
  <c r="V10" i="14" s="1"/>
  <c r="L12" i="2"/>
  <c r="AZ11" i="11"/>
  <c r="V15" i="16"/>
  <c r="X17" i="17"/>
  <c r="AA16" i="16"/>
  <c r="R17" i="14"/>
  <c r="AP13" i="20"/>
  <c r="AM11" i="11"/>
  <c r="AO9" i="17"/>
  <c r="X13" i="17"/>
  <c r="AO12" i="17"/>
  <c r="AO10" i="17"/>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H11" i="16"/>
  <c r="BH17" i="16"/>
  <c r="BM16" i="11"/>
  <c r="BL17" i="11"/>
  <c r="BF10" i="11"/>
  <c r="V11" i="11"/>
  <c r="Q10" i="21"/>
  <c r="BJ11" i="11"/>
  <c r="BI17" i="11"/>
  <c r="BL11" i="11"/>
  <c r="BM15" i="11"/>
  <c r="T15" i="16"/>
  <c r="BV17" i="16"/>
  <c r="BV12" i="16"/>
  <c r="BV11" i="16"/>
  <c r="U10" i="17"/>
  <c r="V12" i="16"/>
  <c r="BG12" i="11"/>
  <c r="BH10" i="11"/>
  <c r="AQ10" i="21"/>
  <c r="BK16" i="11"/>
  <c r="BG16" i="11"/>
  <c r="Q16" i="11" s="1"/>
  <c r="AQ12" i="21"/>
  <c r="BL16" i="11"/>
  <c r="U9" i="17"/>
  <c r="U19" i="17" s="1"/>
  <c r="BF11" i="11"/>
  <c r="BL9" i="11"/>
  <c r="Q9" i="11" s="1"/>
  <c r="BG10" i="11"/>
  <c r="P17" i="17"/>
  <c r="BK12" i="11"/>
  <c r="BK9" i="11"/>
  <c r="BK15" i="11"/>
  <c r="BI10" i="11"/>
  <c r="V9" i="11"/>
  <c r="R10" i="21"/>
  <c r="BG9" i="11"/>
  <c r="BH17" i="11"/>
  <c r="T17" i="16"/>
  <c r="BU11" i="17"/>
  <c r="BU10" i="17"/>
  <c r="BW12" i="20"/>
  <c r="BW11" i="20"/>
  <c r="BW10" i="20"/>
  <c r="BU12" i="17"/>
  <c r="AZ12" i="11"/>
  <c r="Q17" i="17"/>
  <c r="BI9" i="11"/>
  <c r="BJ10" i="11"/>
  <c r="BH11" i="11"/>
  <c r="BH16" i="11"/>
  <c r="BJ16" i="11"/>
  <c r="L16" i="2"/>
  <c r="L9" i="2"/>
  <c r="T12" i="11"/>
  <c r="R11" i="14"/>
  <c r="S12" i="14"/>
  <c r="V12" i="14" s="1"/>
  <c r="V13"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C18" i="6"/>
  <c r="BW21" i="20"/>
  <c r="BK13" i="11"/>
  <c r="T18" i="16"/>
  <c r="T19" i="16" s="1"/>
  <c r="BF18" i="11"/>
  <c r="P12" i="11"/>
  <c r="X19" i="21"/>
  <c r="S19" i="16"/>
  <c r="BH18" i="11"/>
  <c r="BK18" i="11"/>
  <c r="BK19" i="11" s="1"/>
  <c r="BV13" i="16"/>
  <c r="BV18" i="16"/>
  <c r="P16" i="11"/>
  <c r="R13" i="21"/>
  <c r="R19" i="21" s="1"/>
  <c r="P18" i="17"/>
  <c r="P19" i="17" s="1"/>
  <c r="BH13" i="11"/>
  <c r="P9" i="11"/>
  <c r="AZ19" i="11"/>
  <c r="AZ13" i="11"/>
  <c r="BJ18" i="11"/>
  <c r="BK19" i="16"/>
  <c r="AF19" i="11"/>
  <c r="V17" i="11"/>
  <c r="AG21" i="11"/>
  <c r="Q18"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O12" i="11"/>
  <c r="U20" i="2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<sst xmlns="http://schemas.openxmlformats.org/spreadsheetml/2006/main" count="2102" uniqueCount="917">
  <si>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</si>
  <si>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</si>
  <si>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</si>
  <si>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</si>
  <si>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</si>
  <si>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</si>
  <si>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</si>
  <si>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</si>
  <si>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</si>
  <si>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</si>
  <si>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</si>
  <si>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</si>
  <si>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</si>
  <si>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</si>
  <si>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</si>
  <si>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</si>
  <si>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</si>
  <si>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</si>
  <si>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</si>
  <si>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</si>
  <si>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</si>
  <si>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</si>
  <si>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</si>
  <si>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</si>
  <si>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</si>
  <si>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</si>
  <si>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</si>
  <si>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</si>
  <si>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</si>
  <si>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</si>
  <si>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</si>
  <si>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</si>
  <si>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</si>
  <si>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</si>
  <si>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</si>
  <si>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</si>
  <si>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</si>
  <si>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</si>
  <si>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</si>
  <si>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</si>
  <si>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</si>
  <si>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</si>
  <si>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</si>
  <si>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</si>
  <si>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</si>
  <si>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</si>
  <si>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</si>
  <si>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</si>
  <si>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</si>
  <si>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</si>
  <si>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</si>
  <si>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</si>
  <si>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</si>
  <si>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</si>
  <si>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</si>
  <si>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</si>
  <si>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</si>
  <si>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</si>
  <si>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</si>
  <si>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</si>
  <si>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</si>
  <si>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</si>
  <si>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</si>
  <si>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</si>
  <si>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</si>
  <si>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</si>
  <si>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</si>
  <si>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</si>
  <si>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</si>
  <si>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</si>
  <si>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</si>
  <si>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</si>
  <si>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</si>
  <si>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</si>
  <si>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</si>
  <si>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</si>
  <si>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</si>
  <si>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</si>
  <si>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</si>
  <si>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</si>
  <si>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</si>
  <si>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</si>
  <si>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</si>
  <si>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</si>
  <si>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</si>
  <si>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</si>
  <si>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</si>
  <si>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</si>
  <si>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</si>
  <si>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</si>
  <si>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</si>
  <si>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</si>
  <si>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</si>
  <si>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</si>
  <si>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</si>
  <si>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</si>
  <si>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</si>
  <si>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</si>
  <si>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</si>
  <si>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</si>
  <si>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</si>
  <si>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</si>
  <si>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</si>
  <si>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</si>
  <si>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</si>
  <si>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</si>
  <si>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</si>
  <si>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</si>
  <si>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</si>
  <si>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</si>
  <si>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</si>
  <si>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</si>
  <si>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</si>
  <si>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</si>
  <si>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</si>
  <si>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</si>
  <si>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</si>
  <si>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</si>
  <si>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</si>
  <si>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</si>
  <si>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</si>
  <si>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</si>
  <si>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</si>
  <si>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</si>
  <si>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</si>
  <si>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</si>
  <si>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</si>
  <si>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</si>
  <si>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</si>
  <si>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</si>
  <si>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</si>
  <si>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</si>
  <si>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</si>
  <si>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</si>
  <si>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</si>
  <si>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</si>
  <si>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</si>
  <si>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</si>
  <si>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</si>
  <si>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</si>
  <si>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</si>
  <si>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</si>
  <si>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</si>
  <si>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</si>
  <si>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</si>
  <si>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</si>
  <si>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</si>
  <si>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</si>
  <si>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</si>
  <si>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</si>
  <si>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</si>
  <si>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</si>
  <si>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</si>
  <si>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</si>
  <si>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</si>
  <si>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</si>
  <si>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</si>
  <si>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</si>
  <si>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</si>
  <si>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</si>
  <si>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</si>
  <si>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</si>
  <si>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</si>
  <si>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</si>
  <si>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</si>
  <si>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</si>
  <si>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</si>
  <si>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</si>
  <si>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</si>
  <si>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</si>
  <si>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</si>
  <si>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</si>
  <si>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</si>
  <si>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</si>
  <si>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</si>
  <si>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</si>
  <si>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</si>
  <si>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</si>
  <si>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</si>
  <si>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</si>
  <si>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</si>
  <si>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</si>
  <si>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</si>
  <si>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</si>
  <si>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</si>
  <si>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</si>
  <si>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</si>
  <si>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</si>
  <si>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</si>
  <si>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</si>
  <si>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</si>
  <si>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</si>
  <si>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</si>
  <si>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</si>
  <si>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</si>
  <si>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</si>
  <si>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</si>
  <si>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</si>
  <si>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</si>
  <si>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</si>
  <si>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</si>
  <si>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</si>
  <si>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</si>
  <si>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</si>
  <si>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</si>
  <si>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</si>
  <si>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</si>
  <si>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</si>
  <si>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</si>
  <si>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</si>
  <si>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</si>
  <si>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</si>
  <si>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</si>
  <si>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</si>
  <si>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</si>
  <si>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</si>
  <si>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</si>
  <si>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</si>
  <si>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</si>
  <si>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</si>
  <si>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</si>
  <si>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</si>
  <si>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</si>
  <si>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</si>
  <si>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</si>
  <si>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</si>
  <si>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</si>
  <si>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</si>
  <si>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</si>
  <si>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</si>
  <si>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</si>
  <si>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</si>
  <si>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</si>
  <si>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</si>
  <si>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</si>
  <si>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</si>
  <si>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</si>
  <si>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</si>
  <si>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</si>
  <si>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</si>
  <si>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</si>
  <si>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</si>
  <si>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</si>
  <si>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</si>
  <si>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</si>
  <si>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</si>
  <si>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</si>
  <si>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</si>
  <si>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</si>
  <si>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</si>
  <si>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</si>
  <si>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</si>
  <si>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</si>
  <si>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</si>
  <si>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</si>
  <si>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</si>
  <si>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</si>
  <si>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</si>
  <si>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</si>
  <si>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</si>
  <si>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</si>
  <si>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</si>
  <si>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</si>
  <si>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</si>
  <si>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</si>
  <si>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</si>
  <si>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</si>
  <si>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</si>
  <si>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</si>
  <si>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</si>
  <si>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</si>
  <si>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</si>
  <si>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</si>
  <si>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</si>
  <si>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</si>
  <si>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</si>
  <si>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</si>
  <si>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</si>
  <si>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</si>
  <si>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</si>
  <si>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</si>
  <si>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</si>
  <si>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</si>
  <si>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</si>
  <si>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</si>
  <si>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</si>
  <si>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</si>
  <si>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</si>
  <si>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</si>
  <si>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</si>
  <si>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</si>
  <si>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</si>
  <si>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</si>
  <si>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</si>
  <si>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</si>
  <si>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</si>
  <si>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</si>
  <si>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</si>
  <si>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</si>
  <si>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</si>
  <si>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</si>
  <si>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</si>
  <si>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</si>
  <si>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</si>
  <si>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</si>
  <si>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</si>
  <si>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</si>
  <si>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</si>
  <si>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</si>
  <si>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</si>
  <si>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</si>
  <si>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</si>
  <si>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</si>
  <si>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</si>
  <si>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</si>
  <si>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</si>
  <si>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</si>
  <si>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</si>
  <si>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</si>
  <si>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</si>
  <si>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</si>
  <si>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</si>
  <si>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</si>
  <si>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</si>
  <si>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</si>
  <si>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</si>
  <si>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</si>
  <si>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</si>
  <si>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</si>
  <si>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</si>
  <si>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</si>
  <si>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</si>
  <si>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</si>
  <si>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</si>
  <si>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</si>
  <si>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</si>
  <si>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</si>
  <si>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</si>
  <si>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</si>
  <si>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</si>
  <si>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</si>
  <si>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</si>
  <si>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</si>
  <si>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</si>
  <si>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</si>
  <si>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</si>
  <si>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</si>
  <si>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</si>
  <si>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</si>
  <si>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</si>
  <si>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</si>
  <si>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</si>
  <si>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</si>
  <si>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</si>
  <si>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</si>
  <si>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</si>
  <si>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</si>
  <si>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</si>
  <si>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</si>
  <si>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</si>
  <si>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</si>
  <si>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</si>
  <si>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</si>
  <si>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</si>
  <si>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</si>
  <si>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</si>
  <si>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</si>
  <si>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</si>
  <si>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</si>
  <si>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</si>
  <si>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</si>
  <si>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</si>
  <si>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</si>
  <si>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</si>
  <si>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</si>
  <si>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</si>
  <si>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</si>
  <si>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</si>
  <si>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</si>
  <si>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</si>
  <si>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</si>
  <si>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</si>
  <si>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</si>
  <si>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</si>
  <si>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</si>
  <si>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</si>
  <si>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</si>
  <si>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</si>
  <si>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</si>
  <si>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</si>
  <si>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</si>
  <si>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</si>
  <si>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</si>
  <si>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</si>
  <si>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</si>
  <si>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</si>
  <si>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</si>
  <si>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</si>
  <si>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</si>
  <si>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</si>
  <si>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</si>
  <si>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</si>
  <si>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</si>
  <si>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</si>
  <si>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</si>
  <si>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</si>
  <si>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</si>
  <si>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</si>
  <si>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</si>
  <si>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</si>
  <si>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</si>
  <si>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</si>
  <si>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</si>
  <si>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</si>
  <si>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</si>
  <si>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</si>
  <si>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</si>
  <si>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</si>
  <si>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</si>
  <si>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</si>
  <si>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</si>
  <si>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</si>
  <si>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</si>
  <si>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</si>
  <si>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</si>
  <si>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</si>
  <si>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</si>
  <si>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</si>
  <si>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</si>
  <si>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</si>
  <si>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</si>
  <si>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</si>
  <si>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</si>
  <si>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</si>
  <si>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</si>
  <si>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</si>
  <si>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</si>
  <si>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</si>
  <si>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</si>
  <si>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</si>
  <si>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</si>
  <si>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</si>
  <si>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</si>
  <si>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</si>
  <si>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</si>
  <si>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</si>
  <si>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</si>
  <si>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</si>
  <si>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</si>
  <si>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</si>
  <si>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</si>
  <si>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</si>
  <si>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</si>
  <si>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</si>
  <si>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</si>
  <si>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</si>
  <si>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</si>
  <si>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</si>
  <si>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</si>
  <si>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</si>
  <si>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</si>
  <si>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</si>
  <si>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</si>
  <si>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</si>
  <si>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</si>
  <si>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</si>
  <si>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</si>
  <si>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</si>
  <si>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</si>
  <si>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</si>
  <si>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</si>
  <si>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</si>
  <si>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</si>
  <si>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</si>
  <si>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</si>
  <si>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</si>
  <si>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</si>
  <si>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</si>
  <si>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</si>
  <si>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</si>
  <si>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</si>
  <si>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</si>
  <si>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</si>
  <si>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</si>
  <si>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</si>
  <si>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</si>
  <si>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</si>
  <si>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</si>
  <si>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</si>
  <si>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</si>
  <si>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</si>
  <si>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</si>
  <si>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</si>
  <si>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</si>
  <si>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</si>
  <si>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</si>
  <si>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</si>
  <si>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</si>
  <si>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</si>
  <si>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</si>
  <si>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</si>
  <si>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</si>
  <si>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</si>
  <si>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</si>
  <si>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</si>
  <si>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</si>
  <si>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</si>
  <si>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</si>
  <si>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</si>
  <si>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</si>
  <si>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</si>
  <si>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</si>
  <si>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</si>
  <si>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</si>
  <si>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</si>
  <si>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</si>
  <si>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</si>
  <si>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</si>
  <si>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</si>
  <si>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</si>
  <si>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</si>
  <si>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</si>
  <si>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</si>
  <si>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</si>
  <si>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</si>
  <si>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</si>
  <si>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</si>
  <si>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</si>
  <si>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</si>
  <si>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</si>
  <si>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</si>
  <si>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</si>
  <si>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</si>
  <si>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</si>
  <si>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</si>
  <si>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</si>
  <si>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</si>
  <si>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</si>
  <si>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</si>
  <si>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</si>
  <si>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</si>
  <si>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</si>
  <si>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</si>
  <si>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</si>
  <si>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</si>
  <si>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</si>
  <si>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</si>
  <si>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</si>
  <si>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</si>
  <si>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</si>
  <si>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</si>
  <si>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</si>
  <si>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</si>
  <si>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</si>
  <si>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</si>
  <si>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</si>
  <si>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</si>
  <si>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</si>
  <si>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</si>
  <si>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</si>
  <si>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</si>
  <si>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</si>
  <si>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</si>
  <si>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</si>
  <si>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</si>
  <si>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</si>
  <si>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</si>
  <si>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</si>
  <si>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</si>
  <si>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</si>
  <si>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</si>
  <si>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</si>
  <si>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</si>
  <si>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</si>
  <si>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</si>
  <si>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</si>
  <si>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</si>
  <si>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</si>
  <si>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</si>
  <si>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</si>
  <si>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</si>
  <si>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</si>
  <si>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</si>
  <si>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</si>
  <si>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</si>
  <si>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</si>
  <si>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</si>
  <si>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</si>
  <si>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</si>
  <si>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</si>
  <si>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</si>
  <si>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</si>
  <si>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</si>
  <si>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</si>
  <si>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</si>
  <si>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</si>
  <si>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</si>
  <si>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</si>
  <si>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</si>
  <si>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</si>
  <si>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</si>
  <si>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</si>
  <si>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</si>
  <si>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</si>
  <si>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</si>
  <si>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</si>
  <si>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</si>
  <si>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</si>
  <si>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</si>
  <si>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</si>
  <si>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</si>
  <si>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</si>
  <si>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</si>
  <si>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</si>
  <si>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</si>
  <si>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</si>
  <si>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</si>
  <si>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</si>
  <si>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</si>
  <si>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</si>
  <si>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</si>
  <si>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</si>
  <si>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</si>
  <si>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</si>
  <si>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</si>
  <si>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</si>
  <si>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</si>
  <si>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</si>
  <si>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</si>
  <si>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</si>
  <si>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</si>
  <si>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</si>
  <si>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</si>
  <si>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</si>
  <si>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</si>
  <si>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</si>
  <si>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</si>
  <si>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</si>
  <si>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</si>
  <si>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</si>
  <si>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</si>
  <si>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</si>
  <si>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</si>
  <si>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</si>
  <si>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</si>
  <si>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</si>
  <si>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</si>
  <si>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</si>
  <si>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</si>
  <si>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</si>
  <si>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</si>
  <si>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</si>
  <si>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</si>
  <si>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</si>
  <si>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</si>
  <si>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</si>
  <si>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</si>
  <si>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</si>
  <si>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</si>
  <si>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</si>
  <si>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</si>
  <si>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</si>
  <si>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</si>
  <si>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</si>
  <si>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</si>
  <si>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</si>
  <si>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</si>
  <si>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</si>
  <si>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</si>
  <si>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</si>
  <si>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</si>
  <si>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</si>
  <si>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</si>
  <si>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</si>
  <si>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</si>
  <si>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</si>
  <si>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</si>
  <si>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</si>
  <si>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</si>
  <si>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</si>
  <si>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</si>
  <si>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</si>
  <si>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</si>
  <si>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</si>
  <si>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</si>
  <si>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</si>
  <si>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</si>
  <si>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</si>
  <si>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</si>
  <si>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</si>
  <si>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</si>
  <si>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</si>
  <si>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</si>
  <si>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</si>
  <si>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</si>
  <si>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</si>
  <si>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</si>
  <si>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</si>
  <si>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</si>
  <si>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</si>
  <si>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</si>
  <si>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</si>
  <si>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</si>
  <si>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</si>
  <si>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</si>
  <si>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</si>
  <si>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</si>
  <si>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</si>
  <si>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</si>
  <si>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</si>
  <si>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</si>
  <si>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</si>
  <si>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</si>
  <si>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</si>
  <si>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</si>
  <si>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</si>
  <si>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</si>
  <si>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</si>
  <si>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</si>
  <si>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</si>
  <si>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</si>
  <si>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</si>
  <si>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</si>
  <si>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</si>
  <si>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</si>
  <si>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</si>
  <si>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</si>
  <si>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</si>
  <si>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</si>
  <si>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</si>
  <si>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</si>
  <si>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</si>
  <si>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</si>
  <si>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</si>
  <si>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</si>
  <si>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</si>
  <si>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</si>
  <si>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</si>
  <si>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</si>
  <si>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</si>
  <si>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</si>
  <si>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</si>
  <si>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</si>
  <si>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</si>
  <si>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</si>
  <si>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</si>
  <si>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</si>
  <si>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</si>
  <si>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</si>
  <si>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</si>
  <si>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</si>
  <si>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</si>
  <si>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</si>
  <si>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</si>
  <si>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</si>
  <si>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</si>
  <si>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</si>
  <si>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</si>
  <si>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</si>
  <si>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</si>
  <si>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</si>
  <si>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</si>
  <si>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</si>
  <si>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</si>
  <si>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</si>
  <si>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</si>
  <si>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</si>
  <si>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</si>
  <si>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</si>
  <si>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</si>
  <si>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</si>
  <si>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</si>
  <si>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</si>
  <si>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</si>
  <si>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</si>
  <si>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</si>
  <si>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</si>
  <si>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</si>
  <si>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</si>
  <si>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</si>
  <si>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</si>
  <si>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</si>
  <si>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</si>
  <si>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</si>
  <si>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</si>
  <si>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</si>
  <si>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</si>
  <si>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</si>
  <si>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</si>
  <si>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</si>
  <si>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</si>
  <si>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</si>
  <si>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</si>
  <si>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</si>
  <si>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</si>
  <si>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</si>
  <si>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</si>
  <si>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</si>
  <si>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</si>
  <si>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</si>
  <si>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</si>
  <si>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</si>
  <si>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</si>
  <si>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</si>
  <si>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</si>
  <si>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</si>
  <si>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</si>
  <si>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</si>
  <si>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</si>
  <si>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</si>
  <si>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</si>
  <si>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</si>
  <si>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</si>
  <si>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</si>
  <si>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</si>
  <si>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</si>
  <si>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</si>
  <si>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</si>
  <si>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</si>
  <si>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</si>
  <si>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</si>
  <si>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</si>
  <si>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</si>
  <si>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</si>
  <si>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</si>
  <si>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</si>
  <si>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</si>
  <si>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</si>
  <si>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</si>
  <si>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</si>
  <si>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</si>
  <si>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</si>
  <si>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</si>
  <si>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</si>
  <si>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</si>
  <si>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</si>
  <si>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</si>
  <si>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</si>
  <si>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</si>
  <si>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</si>
  <si>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</si>
  <si>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</si>
  <si>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</si>
  <si>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</si>
  <si>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</si>
  <si>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</si>
  <si>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</si>
  <si>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</si>
  <si>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</si>
  <si>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</si>
  <si>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</si>
  <si>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</si>
  <si>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</si>
  <si>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</si>
  <si>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</si>
  <si>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</si>
  <si>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</si>
  <si>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</si>
  <si>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</si>
  <si>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</si>
  <si>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</si>
  <si>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</si>
  <si>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</si>
  <si>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</si>
  <si>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</si>
  <si>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</si>
  <si>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</si>
  <si>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</si>
  <si>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</si>
  <si>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</si>
  <si>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</si>
  <si>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</si>
  <si>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</si>
  <si>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</si>
  <si>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</si>
  <si>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</si>
  <si>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</si>
  <si>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</si>
  <si>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</si>
  <si>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</si>
  <si>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</si>
  <si>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</si>
  <si>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</si>
  <si>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</si>
  <si>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</si>
  <si>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</si>
  <si>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</si>
  <si>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</si>
  <si>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</si>
  <si>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</si>
  <si>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</si>
  <si>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</si>
  <si>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</si>
  <si>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</si>
  <si>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</si>
  <si>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</si>
  <si>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</si>
  <si>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</si>
  <si>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</si>
  <si>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</si>
  <si>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</si>
  <si>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</si>
  <si>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</si>
  <si>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</si>
  <si>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</si>
  <si>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</si>
  <si>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</si>
  <si>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</si>
  <si>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</si>
  <si>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</si>
  <si>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</si>
  <si>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</si>
  <si>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</si>
  <si>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</si>
  <si>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</si>
  <si>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</si>
  <si>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O PORRIÑO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</si>
</sst>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YiDaPwWTFpX1pZTNqYdpT/v/7QcBQX642HRZxPMG/tfaD33HU3oc0ohp5Msc9RCywjdRD70kcAEhvAT46REdg==" saltValue="ovB4bwcsz0pgNF25KdPS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10</v>
      </c>
      <c r="F10" s="226">
        <f>IF(ISNUMBER(Datos!K10),Datos!K10," - ")</f>
        <v>10</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21.245098039215687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10</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739</v>
      </c>
      <c r="D16" s="225">
        <f>IF(ISNUMBER(IF(D_I="SI",Datos!I16,Datos!I16+Datos!AC16)),IF(D_I="SI",Datos!I16,Datos!I16+Datos!AC16)," - ")</f>
        <v>737</v>
      </c>
      <c r="E16" s="226">
        <f>IF(ISNUMBER(IF(D_I="SI",Datos!J16,Datos!J16+Datos!AD16)),IF(D_I="SI",Datos!J16,Datos!J16+Datos!AD16)," - ")</f>
        <v>418</v>
      </c>
      <c r="F16" s="226">
        <f>IF(ISNUMBER(IF(D_I="SI",Datos!K16,Datos!K16+Datos!AE16)),IF(D_I="SI",Datos!K16,Datos!K16+Datos!AE16)," - ")</f>
        <v>446</v>
      </c>
      <c r="G16" s="1034" t="str">
        <f>IF(Datos!E16&lt;&gt;"",Datos!E16,Datos!D16)</f>
        <v>04</v>
      </c>
      <c r="H16" s="227">
        <f>IF(ISNUMBER(IF(D_I="SI",Datos!L16,Datos!L16+Datos!AF16)),IF(D_I="SI",Datos!L16,Datos!L16+Datos!AF16)," - ")</f>
        <v>711</v>
      </c>
      <c r="I16" s="1044" t="str">
        <f>IF(ISNUMBER(Datos!AS16/Datos!BM16),Datos!AS16/Datos!BM16," - ")</f>
        <v xml:space="preserve"> - </v>
      </c>
      <c r="J16" s="1045">
        <f>IF(ISNUMBER(Datos!BY16/Datos!CN16),Datos!BY16/Datos!CN16," - ")</f>
        <v>0</v>
      </c>
      <c r="K16" s="230">
        <f t="shared" si="3"/>
        <v>-3.7889039242219216E-2</v>
      </c>
      <c r="L16" s="1025">
        <f>IF(ISNUMBER(NºAsuntos!I16/NºAsuntos!G16),(NºAsuntos!I16/NºAsuntos!G16)*11," - ")</f>
        <v>17.535874439461885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43</v>
      </c>
      <c r="F17" s="226">
        <f>IF(ISNUMBER(IF(D_I="SI",Datos!K17,Datos!K17+Datos!AE17)),IF(D_I="SI",Datos!K17,Datos!K17+Datos!AE17)," - ")</f>
        <v>39</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5.6410256410256405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755</v>
      </c>
      <c r="D18" s="1049">
        <f>SUBTOTAL(9,D15:D17)</f>
        <v>753</v>
      </c>
      <c r="E18" s="1050">
        <f>SUBTOTAL(9,E15:E17)</f>
        <v>461</v>
      </c>
      <c r="F18" s="1050">
        <f>SUBTOTAL(9,F15:F17)</f>
        <v>485</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767</v>
      </c>
      <c r="D19" s="1071">
        <f>SUBTOTAL(9,D9:D18)</f>
        <v>765</v>
      </c>
      <c r="E19" s="1072">
        <f>SUBTOTAL(9,E9:E18)</f>
        <v>471</v>
      </c>
      <c r="F19" s="1072">
        <f>SUBTOTAL(9,F9:F18)</f>
        <v>495</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1tJ1C3D475H6mBrpsPa7xF6UA2TMccb/oixXlSE3t1itwgU0w7nkoViUbgaYY33HnfLgwlAfq0EQpt0I5t/TfQ==" saltValue="ccFBnRjupJAwiyajKFS9Z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QdGstHEq8zivFU+P1hFpDRFlttK3sSKVOSr/V9fz9cV151CH/nPostbIhFD87p8k9DMjQyRXFXVOAFd5AsrKg==" saltValue="mcqktjzKrW97PPHBTfpK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10</v>
      </c>
      <c r="K10" s="181">
        <v>10</v>
      </c>
      <c r="L10" s="181">
        <v>12</v>
      </c>
      <c r="M10" s="181">
        <v>7</v>
      </c>
      <c r="N10" s="181">
        <v>3</v>
      </c>
      <c r="O10" s="181">
        <v>0</v>
      </c>
      <c r="P10" s="181">
        <v>0</v>
      </c>
      <c r="Q10" s="181">
        <v>0</v>
      </c>
      <c r="R10" s="181">
        <v>2</v>
      </c>
      <c r="S10" s="181">
        <v>19</v>
      </c>
      <c r="T10" s="181">
        <v>5</v>
      </c>
      <c r="U10" s="181">
        <v>12</v>
      </c>
      <c r="V10" s="181">
        <v>12</v>
      </c>
      <c r="W10" s="181">
        <v>3</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19</v>
      </c>
      <c r="AZ10" s="129">
        <f t="shared" si="0"/>
        <v>5</v>
      </c>
      <c r="BA10" s="129">
        <f t="shared" si="0"/>
        <v>12</v>
      </c>
      <c r="BB10" s="129">
        <f t="shared" si="0"/>
        <v>12</v>
      </c>
      <c r="BC10" s="125">
        <f t="shared" si="0"/>
        <v>3</v>
      </c>
      <c r="BD10" s="126">
        <f>IF(ISNUMBER(BA10/AZ10),BA10/AZ10," - ")</f>
        <v>2.4</v>
      </c>
      <c r="BE10" s="127">
        <f>IF(ISNUMBER(BB10/BA10),BB10/BA10, " - ")</f>
        <v>1</v>
      </c>
      <c r="BF10" s="127">
        <f>IF(ISNUMBER(BC10/BA10),BC10/BA10, " - ")</f>
        <v>0.25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2074</v>
      </c>
      <c r="J12" s="183">
        <v>839</v>
      </c>
      <c r="K12" s="183">
        <v>959</v>
      </c>
      <c r="L12" s="183">
        <v>1955</v>
      </c>
      <c r="M12" s="183">
        <v>369</v>
      </c>
      <c r="N12" s="183">
        <v>353</v>
      </c>
      <c r="O12" s="181">
        <v>345</v>
      </c>
      <c r="P12" s="183">
        <v>116</v>
      </c>
      <c r="Q12" s="183">
        <v>341</v>
      </c>
      <c r="R12" s="183">
        <v>1477</v>
      </c>
      <c r="S12" s="183">
        <v>1840</v>
      </c>
      <c r="T12" s="183">
        <v>668</v>
      </c>
      <c r="U12" s="183">
        <v>633</v>
      </c>
      <c r="V12" s="183">
        <v>1875</v>
      </c>
      <c r="W12" s="183">
        <v>199</v>
      </c>
      <c r="X12" s="189">
        <v>243</v>
      </c>
      <c r="Y12" s="191">
        <v>20</v>
      </c>
      <c r="Z12" s="181">
        <v>56</v>
      </c>
      <c r="AA12" s="181">
        <v>61</v>
      </c>
      <c r="AB12" s="181">
        <v>15</v>
      </c>
      <c r="AC12" s="183">
        <v>0</v>
      </c>
      <c r="AD12" s="183">
        <v>0</v>
      </c>
      <c r="AE12" s="183">
        <v>0</v>
      </c>
      <c r="AF12" s="189">
        <v>0</v>
      </c>
      <c r="AG12" s="202">
        <v>23</v>
      </c>
      <c r="AH12" s="183">
        <v>72</v>
      </c>
      <c r="AI12" s="183">
        <v>48</v>
      </c>
      <c r="AJ12" s="203">
        <v>47</v>
      </c>
      <c r="AK12" s="182">
        <v>0</v>
      </c>
      <c r="AL12" s="183">
        <v>0</v>
      </c>
      <c r="AM12" s="183">
        <v>0</v>
      </c>
      <c r="AN12" s="189">
        <v>0</v>
      </c>
      <c r="AO12" s="259">
        <v>3</v>
      </c>
      <c r="AP12" s="155">
        <v>3</v>
      </c>
      <c r="AQ12" s="155">
        <v>3</v>
      </c>
      <c r="AR12" s="154">
        <v>3</v>
      </c>
      <c r="AS12" s="340" t="s">
        <v>801</v>
      </c>
      <c r="AT12" s="203"/>
      <c r="AU12" s="202"/>
      <c r="AV12" s="203"/>
      <c r="AW12" s="202"/>
      <c r="AX12" s="203"/>
      <c r="AY12" s="126">
        <f t="shared" si="1"/>
        <v>1863</v>
      </c>
      <c r="AZ12" s="127">
        <f t="shared" si="1"/>
        <v>740</v>
      </c>
      <c r="BA12" s="127">
        <f t="shared" si="1"/>
        <v>681</v>
      </c>
      <c r="BB12" s="127">
        <f t="shared" si="1"/>
        <v>1922</v>
      </c>
      <c r="BC12" s="125">
        <f>IF(ISNUMBER(X12),X12," - ")</f>
        <v>243</v>
      </c>
      <c r="BD12" s="126">
        <f t="shared" si="2"/>
        <v>0.92027027027027031</v>
      </c>
      <c r="BE12" s="127">
        <f t="shared" si="3"/>
        <v>2.8223201174743027</v>
      </c>
      <c r="BF12" s="127">
        <f t="shared" si="4"/>
        <v>0.35682819383259912</v>
      </c>
      <c r="BG12" s="196">
        <f t="shared" si="5"/>
        <v>3.8223201174743027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2086</v>
      </c>
      <c r="J13" s="184">
        <f t="shared" si="6"/>
        <v>849</v>
      </c>
      <c r="K13" s="184">
        <f t="shared" si="6"/>
        <v>969</v>
      </c>
      <c r="L13" s="184">
        <f t="shared" si="6"/>
        <v>1967</v>
      </c>
      <c r="M13" s="184">
        <f t="shared" si="6"/>
        <v>376</v>
      </c>
      <c r="N13" s="184">
        <f t="shared" si="6"/>
        <v>356</v>
      </c>
      <c r="O13" s="184">
        <f t="shared" si="6"/>
        <v>345</v>
      </c>
      <c r="P13" s="184">
        <f t="shared" si="6"/>
        <v>116</v>
      </c>
      <c r="Q13" s="184">
        <f t="shared" si="6"/>
        <v>341</v>
      </c>
      <c r="R13" s="184">
        <f t="shared" si="6"/>
        <v>1479</v>
      </c>
      <c r="S13" s="184">
        <f t="shared" si="6"/>
        <v>1859</v>
      </c>
      <c r="T13" s="184">
        <f t="shared" si="6"/>
        <v>673</v>
      </c>
      <c r="U13" s="184">
        <f t="shared" si="6"/>
        <v>645</v>
      </c>
      <c r="V13" s="184">
        <f t="shared" si="6"/>
        <v>1887</v>
      </c>
      <c r="W13" s="184">
        <f t="shared" si="6"/>
        <v>202</v>
      </c>
      <c r="X13" s="184">
        <f t="shared" si="6"/>
        <v>252</v>
      </c>
      <c r="Y13" s="184">
        <f t="shared" si="6"/>
        <v>20</v>
      </c>
      <c r="Z13" s="184">
        <f t="shared" si="6"/>
        <v>56</v>
      </c>
      <c r="AA13" s="184">
        <f t="shared" si="6"/>
        <v>61</v>
      </c>
      <c r="AB13" s="184">
        <f t="shared" si="6"/>
        <v>15</v>
      </c>
      <c r="AC13" s="184">
        <f t="shared" si="6"/>
        <v>0</v>
      </c>
      <c r="AD13" s="184">
        <f t="shared" si="6"/>
        <v>0</v>
      </c>
      <c r="AE13" s="184">
        <f t="shared" si="6"/>
        <v>0</v>
      </c>
      <c r="AF13" s="184">
        <f>SUBTOTAL(9,AF9:AF12)</f>
        <v>0</v>
      </c>
      <c r="AG13" s="184">
        <f t="shared" ref="AG13:AT13" si="7">SUBTOTAL(9,AG8:AG12)</f>
        <v>23</v>
      </c>
      <c r="AH13" s="184">
        <f t="shared" si="7"/>
        <v>72</v>
      </c>
      <c r="AI13" s="184">
        <f t="shared" si="7"/>
        <v>48</v>
      </c>
      <c r="AJ13" s="184">
        <f t="shared" si="7"/>
        <v>47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1882</v>
      </c>
      <c r="AZ13" s="184">
        <f>SUBTOTAL(9,AZ8:AZ12)</f>
        <v>745</v>
      </c>
      <c r="BA13" s="184">
        <f>SUBTOTAL(9,BA8:BA12)</f>
        <v>693</v>
      </c>
      <c r="BB13" s="184">
        <f>SUBTOTAL(9,BB8:BB12)</f>
        <v>1934</v>
      </c>
      <c r="BC13" s="184">
        <f>SUBTOTAL(9,BC8:BC12)</f>
        <v>246</v>
      </c>
      <c r="BD13" s="205">
        <f>IF(ISNUMBER(BA13/AZ13),BA13/AZ13," - ")</f>
        <v>0.93020134228187923</v>
      </c>
      <c r="BE13" s="206">
        <f>IF(ISNUMBER(BB13/BA13),BB13/BA13, " - ")</f>
        <v>2.7907647907647908</v>
      </c>
      <c r="BF13" s="206">
        <f>IF(ISNUMBER(BC13/BA13),BC13/BA13, " - ")</f>
        <v>0.354978354978355</v>
      </c>
      <c r="BG13" s="207">
        <f>IF(ISNUMBER((AY13+AZ13)/BA13),(AY13+AZ13)/BA13," - ")</f>
        <v>3.7907647907647908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737</v>
      </c>
      <c r="J16" s="183">
        <v>418</v>
      </c>
      <c r="K16" s="183">
        <v>446</v>
      </c>
      <c r="L16" s="183">
        <v>711</v>
      </c>
      <c r="M16" s="183">
        <v>103</v>
      </c>
      <c r="N16" s="183">
        <v>238</v>
      </c>
      <c r="O16" s="181">
        <v>9</v>
      </c>
      <c r="P16" s="183">
        <v>11</v>
      </c>
      <c r="Q16" s="183">
        <v>11</v>
      </c>
      <c r="R16" s="183">
        <v>70</v>
      </c>
      <c r="S16" s="183">
        <v>853</v>
      </c>
      <c r="T16" s="183">
        <v>505</v>
      </c>
      <c r="U16" s="183">
        <v>551</v>
      </c>
      <c r="V16" s="183">
        <v>815</v>
      </c>
      <c r="W16" s="183">
        <v>73</v>
      </c>
      <c r="X16" s="189">
        <v>309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853</v>
      </c>
      <c r="AZ16" s="127">
        <f t="shared" si="9"/>
        <v>505</v>
      </c>
      <c r="BA16" s="127">
        <f t="shared" si="9"/>
        <v>551</v>
      </c>
      <c r="BB16" s="127">
        <f t="shared" si="9"/>
        <v>815</v>
      </c>
      <c r="BC16" s="125">
        <f>IF(ISNUMBER(W16),W16," - ")</f>
        <v>73</v>
      </c>
      <c r="BD16" s="126">
        <f t="shared" ref="BD16" si="11">IF(ISNUMBER(BA16/AZ16),BA16/AZ16," - ")</f>
        <v>1.0910891089108912</v>
      </c>
      <c r="BE16" s="127">
        <f t="shared" ref="BE16" si="12">IF(ISNUMBER(BB16/BA16),BB16/BA16, " - ")</f>
        <v>1.4791288566243195</v>
      </c>
      <c r="BF16" s="127">
        <f t="shared" ref="BF16" si="13">IF(ISNUMBER(BC16/BA16),BC16/BA16, " - ")</f>
        <v>0.13248638838475499</v>
      </c>
      <c r="BG16" s="196">
        <f t="shared" si="10"/>
        <v>2.4646098003629766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43</v>
      </c>
      <c r="K17" s="183">
        <v>39</v>
      </c>
      <c r="L17" s="183">
        <v>20</v>
      </c>
      <c r="M17" s="183">
        <v>3</v>
      </c>
      <c r="N17" s="183">
        <v>25</v>
      </c>
      <c r="O17" s="183">
        <v>1</v>
      </c>
      <c r="P17" s="183">
        <v>0</v>
      </c>
      <c r="Q17" s="183">
        <v>1</v>
      </c>
      <c r="R17" s="183">
        <v>1</v>
      </c>
      <c r="S17" s="183">
        <v>29</v>
      </c>
      <c r="T17" s="183">
        <v>43</v>
      </c>
      <c r="U17" s="183">
        <v>54</v>
      </c>
      <c r="V17" s="183">
        <v>19</v>
      </c>
      <c r="W17" s="183">
        <v>9</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29</v>
      </c>
      <c r="AZ17" s="129">
        <f t="shared" si="14"/>
        <v>43</v>
      </c>
      <c r="BA17" s="129">
        <f t="shared" si="14"/>
        <v>54</v>
      </c>
      <c r="BB17" s="129">
        <f t="shared" si="14"/>
        <v>19</v>
      </c>
      <c r="BC17" s="125">
        <f>IF(ISNUMBER(W17),W17," - ")</f>
        <v>9</v>
      </c>
      <c r="BD17" s="126">
        <f>IF(ISNUMBER(BA17/AZ17),BA17/AZ17," - ")</f>
        <v>1.2558139534883721</v>
      </c>
      <c r="BE17" s="127">
        <f>IF(ISNUMBER(BB17/BA17),BB17/BA17, " - ")</f>
        <v>0.35185185185185186</v>
      </c>
      <c r="BF17" s="127">
        <f>IF(ISNUMBER(BC17/BA17),BC17/BA17, " - ")</f>
        <v>0.16666666666666666</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753</v>
      </c>
      <c r="J18" s="184">
        <f t="shared" si="15"/>
        <v>461</v>
      </c>
      <c r="K18" s="184">
        <f t="shared" si="15"/>
        <v>485</v>
      </c>
      <c r="L18" s="184">
        <f t="shared" si="15"/>
        <v>731</v>
      </c>
      <c r="M18" s="184">
        <f t="shared" si="15"/>
        <v>106</v>
      </c>
      <c r="N18" s="184">
        <f t="shared" si="15"/>
        <v>263</v>
      </c>
      <c r="O18" s="184">
        <f t="shared" si="15"/>
        <v>10</v>
      </c>
      <c r="P18" s="184">
        <f t="shared" si="15"/>
        <v>11</v>
      </c>
      <c r="Q18" s="184">
        <f t="shared" si="15"/>
        <v>12</v>
      </c>
      <c r="R18" s="184">
        <f t="shared" si="15"/>
        <v>71</v>
      </c>
      <c r="S18" s="184">
        <f t="shared" si="15"/>
        <v>882</v>
      </c>
      <c r="T18" s="184">
        <f t="shared" si="15"/>
        <v>548</v>
      </c>
      <c r="U18" s="184">
        <f t="shared" si="15"/>
        <v>605</v>
      </c>
      <c r="V18" s="184">
        <f t="shared" si="15"/>
        <v>834</v>
      </c>
      <c r="W18" s="184">
        <f t="shared" si="15"/>
        <v>82</v>
      </c>
      <c r="X18" s="184">
        <f t="shared" si="15"/>
        <v>334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882</v>
      </c>
      <c r="AZ18" s="184">
        <f>SUBTOTAL(9,AZ14:AZ17)</f>
        <v>548</v>
      </c>
      <c r="BA18" s="184">
        <f>SUBTOTAL(9,BA14:BA17)</f>
        <v>605</v>
      </c>
      <c r="BB18" s="184">
        <f>SUBTOTAL(9,BB14:BB17)</f>
        <v>834</v>
      </c>
      <c r="BC18" s="184">
        <f>SUBTOTAL(9,BC14:BC17)</f>
        <v>82</v>
      </c>
      <c r="BD18" s="205">
        <f>IF(ISNUMBER(BA18/AZ18),BA18/AZ18," - ")</f>
        <v>1.1040145985401459</v>
      </c>
      <c r="BE18" s="206">
        <f>IF(ISNUMBER(BB18/BA18),BB18/BA18, " - ")</f>
        <v>1.3785123966942148</v>
      </c>
      <c r="BF18" s="206">
        <f>IF(ISNUMBER(BC18/BA18),BC18/BA18, " - ")</f>
        <v>0.13553719008264462</v>
      </c>
      <c r="BG18" s="207">
        <f>IF(ISNUMBER((AY18+AZ18)/BA18),(AY18+AZ18)/BA18," - ")</f>
        <v>2.3636363636363638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2839</v>
      </c>
      <c r="J19" s="134">
        <f t="shared" si="18"/>
        <v>1310</v>
      </c>
      <c r="K19" s="134">
        <f t="shared" si="18"/>
        <v>1454</v>
      </c>
      <c r="L19" s="134">
        <f t="shared" si="18"/>
        <v>2698</v>
      </c>
      <c r="M19" s="134">
        <f t="shared" si="18"/>
        <v>482</v>
      </c>
      <c r="N19" s="134">
        <f t="shared" si="18"/>
        <v>619</v>
      </c>
      <c r="O19" s="134">
        <f t="shared" si="18"/>
        <v>355</v>
      </c>
      <c r="P19" s="134">
        <f t="shared" si="18"/>
        <v>127</v>
      </c>
      <c r="Q19" s="134">
        <f t="shared" si="18"/>
        <v>353</v>
      </c>
      <c r="R19" s="134">
        <f t="shared" si="18"/>
        <v>1550</v>
      </c>
      <c r="S19" s="134">
        <f t="shared" si="18"/>
        <v>2741</v>
      </c>
      <c r="T19" s="134">
        <f t="shared" si="18"/>
        <v>1221</v>
      </c>
      <c r="U19" s="134">
        <f t="shared" si="18"/>
        <v>1250</v>
      </c>
      <c r="V19" s="134">
        <f t="shared" si="18"/>
        <v>2721</v>
      </c>
      <c r="W19" s="134">
        <f t="shared" si="18"/>
        <v>284</v>
      </c>
      <c r="X19" s="134">
        <f t="shared" si="18"/>
        <v>586</v>
      </c>
      <c r="Y19" s="134">
        <f t="shared" si="18"/>
        <v>20</v>
      </c>
      <c r="Z19" s="134">
        <f t="shared" si="18"/>
        <v>56</v>
      </c>
      <c r="AA19" s="134">
        <f t="shared" si="18"/>
        <v>61</v>
      </c>
      <c r="AB19" s="134">
        <f t="shared" si="18"/>
        <v>15</v>
      </c>
      <c r="AC19" s="134">
        <f t="shared" si="18"/>
        <v>0</v>
      </c>
      <c r="AD19" s="134">
        <f t="shared" si="18"/>
        <v>1</v>
      </c>
      <c r="AE19" s="134">
        <f t="shared" si="18"/>
        <v>1</v>
      </c>
      <c r="AF19" s="134">
        <f t="shared" si="18"/>
        <v>0</v>
      </c>
      <c r="AG19" s="134">
        <f t="shared" si="18"/>
        <v>23</v>
      </c>
      <c r="AH19" s="134">
        <f t="shared" si="18"/>
        <v>72</v>
      </c>
      <c r="AI19" s="134">
        <f t="shared" si="18"/>
        <v>48</v>
      </c>
      <c r="AJ19" s="134">
        <f t="shared" si="18"/>
        <v>47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2764</v>
      </c>
      <c r="AZ19" s="134">
        <f>SUBTOTAL(9,AZ9:AZ18)</f>
        <v>1293</v>
      </c>
      <c r="BA19" s="134">
        <f>SUBTOTAL(9,BA9:BA18)</f>
        <v>1298</v>
      </c>
      <c r="BB19" s="134">
        <f>SUBTOTAL(9,BB9:BB18)</f>
        <v>2768</v>
      </c>
      <c r="BC19" s="135">
        <f>SUBTOTAL(9,BC9:BC18)</f>
        <v>328</v>
      </c>
      <c r="BD19" s="213">
        <f>IF(ISNUMBER(BA19/AZ19),BA19/AZ19," - ")</f>
        <v>1.0038669760247487</v>
      </c>
      <c r="BE19" s="210">
        <f>IF(ISNUMBER(BB19/BA19),BB19/BA19, " - ")</f>
        <v>2.1325115562403698</v>
      </c>
      <c r="BF19" s="210">
        <f>IF(ISNUMBER(BC19/BA19),BC19/BA19, " - ")</f>
        <v>0.2526964560862866</v>
      </c>
      <c r="BG19" s="135">
        <f>IF(ISNUMBER((AY19+AZ19)/BA19),(AY19+AZ19)/BA19," - ")</f>
        <v>3.1255778120184901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sY9zAcwpksXbCuanmJS4InO8L/Qb6K7XDCZ7zdhzzRoYrENek/R19EaNAxFFxYR77q5ZPqUStWkpvkDSvl8BQ==" saltValue="pCQLYRKa+l8zpfNHozfqO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kN04zVOhz0fVbQxLCYys0I0Y6DrLfFT0uHHSHUvU9AIexis+PT883NttHK/0F93F+gO6kKc3rMEvEwjnFTH2w==" saltValue="tYS9FtrvozD4UUMiYutRR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12</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116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1477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369</v>
      </c>
      <c r="BD12" s="229">
        <f>IF(ISNUMBER(Datos!N12),Datos!N12," - ")</f>
        <v>353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1.1396648044692737</v>
      </c>
      <c r="BH12" s="260">
        <f>IF(ISNUMBER(((IF(J_V="SI",Datos!L12/Datos!K12,(Datos!L12+Datos!AB12)/(Datos!K12+Datos!AA12)))*11)/factor_trimestre),((IF(J_V="SI",Datos!L12/Datos!K12,(Datos!L12+Datos!AB12)/(Datos!K12+Datos!AA12)))*11)/factor_trimestre," - ")</f>
        <v>5.7941176470588243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-0.13219741480611047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116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341</v>
      </c>
      <c r="AD13" s="899">
        <f t="shared" si="1"/>
        <v>0</v>
      </c>
      <c r="AE13" s="899">
        <f t="shared" si="1"/>
        <v>0</v>
      </c>
      <c r="AF13" s="899">
        <f t="shared" si="1"/>
        <v>12</v>
      </c>
      <c r="AG13" s="899">
        <f t="shared" si="1"/>
        <v>0</v>
      </c>
      <c r="AH13" s="899">
        <f t="shared" si="1"/>
        <v>15</v>
      </c>
      <c r="AI13" s="899">
        <f t="shared" si="1"/>
        <v>0</v>
      </c>
      <c r="AJ13" s="899">
        <f t="shared" si="1"/>
        <v>0</v>
      </c>
      <c r="AK13" s="899">
        <f t="shared" si="1"/>
        <v>0</v>
      </c>
      <c r="AL13" s="899">
        <f t="shared" si="1"/>
        <v>0</v>
      </c>
      <c r="AM13" s="899">
        <f t="shared" si="1"/>
        <v>1479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376</v>
      </c>
      <c r="BD13" s="899">
        <f t="shared" si="1"/>
        <v>356</v>
      </c>
      <c r="BE13" s="899">
        <f t="shared" si="1"/>
        <v>0</v>
      </c>
      <c r="BF13" s="899">
        <f t="shared" si="1"/>
        <v>0</v>
      </c>
      <c r="BG13" s="899">
        <f>IF(ISNUMBER(Datos!K13/Datos!J13),Datos!K13/Datos!J13," - ")</f>
        <v>1.1413427561837455</v>
      </c>
      <c r="BH13" s="903">
        <f>IF(ISNUMBER(((Datos!L13/Datos!K13)*11)/factor_trimestre),((Datos!L13/Datos!K13)*11)/factor_trimestre," - ")</f>
        <v>6.0897832817337472</v>
      </c>
      <c r="BI13" s="899">
        <f>IF(ISNUMBER('Resol  Asuntos'!D13/NºAsuntos!G13),'Resol  Asuntos'!D13/NºAsuntos!G13," - ")</f>
        <v>0.36504854368932038</v>
      </c>
      <c r="BJ13" s="899" t="str">
        <f>IF(ISNUMBER(Datos!CI13/Datos!CJ13),Datos!CI13/Datos!CJ13," - ")</f>
        <v xml:space="preserve"> - </v>
      </c>
      <c r="BK13" s="899">
        <f>SUBTOTAL(9,BK8:BK12)</f>
        <v>0</v>
      </c>
      <c r="BL13" s="899">
        <f>IF(ISNUMBER((I13-AB13+L13)/(F13)),(I13-AB13+L13)/(F13)," - ")</f>
        <v>-0.83333333333333337</v>
      </c>
      <c r="BM13" s="904">
        <f>SUBTOTAL(9,BM9:BM12)</f>
        <v>-0.13219741480611047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739</v>
      </c>
      <c r="G16" s="598">
        <f>IF(ISNUMBER(IF(D_I="SI",Datos!I16,Datos!I16+Datos!AC16)),IF(D_I="SI",Datos!I16,Datos!I16+Datos!AC16)," - ")</f>
        <v>737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446</v>
      </c>
      <c r="AC16" s="226">
        <f>IF(ISNUMBER(Datos!Q16),Datos!Q16," - ")</f>
        <v>11</v>
      </c>
      <c r="AD16" s="334"/>
      <c r="AE16" s="484"/>
      <c r="AF16" s="596">
        <f>IF(ISNUMBER(IF(D_I="SI",Datos!L16,Datos!L16+Datos!AF16)),IF(D_I="SI",Datos!L16,Datos!L16+Datos!AF16)," - ")</f>
        <v>711</v>
      </c>
      <c r="AG16" s="334"/>
      <c r="AH16" s="334"/>
      <c r="AI16" s="334"/>
      <c r="AJ16" s="334"/>
      <c r="AK16" s="334"/>
      <c r="AL16" s="479"/>
      <c r="AM16" s="335">
        <f>IF(ISNUMBER(Datos!R16),Datos!R16," - ")</f>
        <v>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238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1.0669856459330143</v>
      </c>
      <c r="BH16" s="260">
        <f>IF(ISNUMBER(((IF(D_I="SI",Datos!L16/Datos!K16,(Datos!L16+Datos!AF16)/(Datos!K16+Datos!AE16)))*11)/factor_trimestre),((IF(D_I="SI",Datos!L16/Datos!K16,(Datos!L16+Datos!AF16)/(Datos!K16+Datos!AE16)))*11)/factor_trimestre," - ")</f>
        <v>4.7825112107623324</v>
      </c>
      <c r="BI16" s="243">
        <f>IF(ISNUMBER('Resol  Asuntos'!D16/NºAsuntos!G16),'Resol  Asuntos'!D16/NºAsuntos!G16," - ")</f>
        <v>0.23094170403587444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1</v>
      </c>
      <c r="AD17" s="334"/>
      <c r="AE17" s="484"/>
      <c r="AF17" s="332">
        <f>IF(ISNUMBER(Datos!L17),Datos!L17,"-")</f>
        <v>20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0.90697674418604646</v>
      </c>
      <c r="BH17" s="260">
        <f>IF(ISNUMBER(((IF(D_I="SI",Datos!L17/Datos!K17,(Datos!L17+Datos!AF17)/(Datos!K17+Datos!AE17)))*11)/factor_trimestre),((IF(D_I="SI",Datos!L17/Datos!K17,(Datos!L17+Datos!AF17)/(Datos!K17+Datos!AE17)))*11)/factor_trimestre," - ")</f>
        <v>1.5384615384615383</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739</v>
      </c>
      <c r="G18" s="898">
        <f>SUBTOTAL(9,G15:G17)</f>
        <v>753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485</v>
      </c>
      <c r="AC18" s="899">
        <f t="shared" si="4"/>
        <v>12</v>
      </c>
      <c r="AD18" s="899">
        <f t="shared" si="4"/>
        <v>0</v>
      </c>
      <c r="AE18" s="899">
        <f t="shared" si="4"/>
        <v>0</v>
      </c>
      <c r="AF18" s="899">
        <f t="shared" si="4"/>
        <v>731</v>
      </c>
      <c r="AG18" s="899">
        <f t="shared" si="4"/>
        <v>0</v>
      </c>
      <c r="AH18" s="899">
        <f t="shared" si="4"/>
        <v>0</v>
      </c>
      <c r="AI18" s="899">
        <f t="shared" si="4"/>
        <v>0</v>
      </c>
      <c r="AJ18" s="899">
        <f t="shared" si="4"/>
        <v>0</v>
      </c>
      <c r="AK18" s="899">
        <f t="shared" si="4"/>
        <v>0</v>
      </c>
      <c r="AL18" s="899">
        <f t="shared" si="4"/>
        <v>0</v>
      </c>
      <c r="AM18" s="899">
        <f t="shared" si="4"/>
        <v>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106</v>
      </c>
      <c r="BD18" s="899">
        <f t="shared" si="4"/>
        <v>263</v>
      </c>
      <c r="BE18" s="899">
        <f t="shared" si="4"/>
        <v>0</v>
      </c>
      <c r="BF18" s="899">
        <f t="shared" si="4"/>
        <v>0</v>
      </c>
      <c r="BG18" s="899">
        <f>IF(ISNUMBER(Datos!K18/Datos!J18),Datos!K18/Datos!J18," - ")</f>
        <v>1.0520607375271149</v>
      </c>
      <c r="BH18" s="903">
        <f>IF(ISNUMBER(((Datos!L18/Datos!K18)*11)/factor_trimestre),((Datos!L18/Datos!K18)*11)/factor_trimestre," - ")</f>
        <v>4.5216494845360833</v>
      </c>
      <c r="BI18" s="899">
        <f>SUBTOTAL(9,BI15:BI17)</f>
        <v>0.30786478095895137</v>
      </c>
      <c r="BJ18" s="899">
        <f>SUBTOTAL(9,BJ15:BJ17)</f>
        <v>0</v>
      </c>
      <c r="BK18" s="899">
        <f>SUBTOTAL(9,BK15:BK17)</f>
        <v>0</v>
      </c>
      <c r="BL18" s="899">
        <f>IF(ISNUMBER((I18-AB18+L18)/(F18)),(I18-AB18+L18)/(F18)," - ")</f>
        <v>-0.65629228687415431</v>
      </c>
      <c r="BM18" s="905">
        <f>IF(ISNUMBER((Datos!P18-Datos!Q18)/(Datos!R18-Datos!P18+Datos!Q18)),(Datos!P18-Datos!Q18)/(Datos!R18-Datos!P18+Datos!Q18)," - ")</f>
        <v>-1.3888888888888888E-2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751</v>
      </c>
      <c r="G19" s="820">
        <f t="shared" si="6"/>
        <v>765</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495</v>
      </c>
      <c r="AC19" s="821">
        <f t="shared" si="7"/>
        <v>353</v>
      </c>
      <c r="AD19" s="821">
        <f t="shared" si="7"/>
        <v>0</v>
      </c>
      <c r="AE19" s="821">
        <f t="shared" si="7"/>
        <v>0</v>
      </c>
      <c r="AF19" s="828">
        <f t="shared" si="7"/>
        <v>743</v>
      </c>
      <c r="AG19" s="828">
        <f t="shared" si="7"/>
        <v>0</v>
      </c>
      <c r="AH19" s="828">
        <f t="shared" si="7"/>
        <v>15</v>
      </c>
      <c r="AI19" s="828">
        <f t="shared" si="7"/>
        <v>0</v>
      </c>
      <c r="AJ19" s="821">
        <f t="shared" si="7"/>
        <v>0</v>
      </c>
      <c r="AK19" s="828">
        <f t="shared" si="7"/>
        <v>0</v>
      </c>
      <c r="AL19" s="828">
        <f t="shared" si="7"/>
        <v>0</v>
      </c>
      <c r="AM19" s="828">
        <f t="shared" si="7"/>
        <v>1550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482</v>
      </c>
      <c r="BD19" s="820">
        <f t="shared" si="7"/>
        <v>619</v>
      </c>
      <c r="BE19" s="820">
        <f t="shared" si="7"/>
        <v>0</v>
      </c>
      <c r="BF19" s="830">
        <f t="shared" si="7"/>
        <v>0</v>
      </c>
      <c r="BG19" s="915">
        <f>IF(ISNUMBER(Datos!K19/Datos!J19),Datos!K19/Datos!J19," - ")</f>
        <v>1.1099236641221375</v>
      </c>
      <c r="BH19" s="915">
        <f>IF(ISNUMBER(((Datos!L19/Datos!K19)*11)/factor_trimestre),((Datos!L19/Datos!K19)*11)/factor_trimestre," - ")</f>
        <v>5.566712517193948</v>
      </c>
      <c r="BI19" s="813">
        <f>IF(ISNUMBER(Datos!J19/Datos!I19),Datos!J19/Datos!I19," - ")</f>
        <v>0.46143008101444172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-0.65912117177097207</v>
      </c>
      <c r="BM19" s="889">
        <f>IF(ISNUMBER((Datos!P19-Datos!Q19+R19)/(Datos!R19-Datos!P19+Datos!Q19-R19)),(Datos!P19-Datos!Q19+R19)/(Datos!R19-Datos!P19+Datos!Q19-R19)," - ")</f>
        <v>-0.12725225225225226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419.73364570085795</v>
      </c>
      <c r="G21" s="552">
        <f>IF(ISNUMBER(STDEV(G8:G18)),STDEV(G8:G18),"-")</f>
        <v>400.79358777305805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244.86833196638557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170.03372214553991</v>
      </c>
      <c r="BD21" s="551"/>
      <c r="BE21" s="551">
        <f>IF(ISNUMBER(STDEV(BE8:BE18)),STDEV(BE8:BE18),"-")</f>
        <v>0</v>
      </c>
      <c r="BF21" s="556">
        <f>IF(ISNUMBER(STDEV(BF8:BF18)),STDEV(BF8:BF18),"-")</f>
        <v>0</v>
      </c>
      <c r="BG21" s="775">
        <f>IF(ISNUMBER(STDEV(BG8:BG18)),STDEV(BG8:BG18),"-")</f>
        <v>8.9020726068300707E-2</v>
      </c>
      <c r="BH21" s="776">
        <f>IF(ISNUMBER(STDEV(BH8:BH18)),STDEV(BH8:BH18),"-")</f>
        <v>1.6605750531530625</v>
      </c>
      <c r="BI21" s="249">
        <f>IF(ISNUMBER(STDEV(BI8:BI18)),STDEV(BI8:BI18),"-")</f>
        <v>0.12491459738728226</v>
      </c>
      <c r="BJ21" s="230" t="str">
        <f>IF(ISNUMBER(BL21/BM21),BL21/BM21," - ")</f>
        <v xml:space="preserve"> - </v>
      </c>
      <c r="BK21" s="575"/>
      <c r="BL21" s="559">
        <f>IF(ISNUMBER(STDEV(BL8:BL18)),STDEV(BL8:BL18),"-")</f>
        <v>0.12518692449964747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wK7DKRfG2kRU/twxUm/WnxuwoFiPYke3GihW07kdD8BQVImUq14l4pwVVAyhFECYOWj/iZU1O8oWi28ozEoAg==" saltValue="UI/aH+zZUqaNjsoZT4kv+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O PORRIÑO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12</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7</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341</v>
      </c>
      <c r="AA12" s="332" t="str">
        <f>IF(ISNUMBER(IF(J_V="SI",Datos!L12,Datos!L12+Datos!AB12)-IF(Monitorios="SI",Datos!CD12,0)),
                          IF(J_V="SI",Datos!L12,Datos!L12+Datos!AB12)-IF(Monitorios="SI",Datos!CD12,0),
                          " - ")</f>
        <v xml:space="preserve"> - </v>
      </c>
      <c r="AB12" s="334"/>
      <c r="AC12" s="334"/>
      <c r="AD12" s="484"/>
      <c r="AE12" s="484">
        <f>IF(ISNUMBER(Datos!R12),Datos!R12," - ")</f>
        <v>1477</v>
      </c>
      <c r="AF12" s="229" t="str">
        <f>IF(ISNUMBER(Datos!BV12),Datos!BV12," - ")</f>
        <v xml:space="preserve"> - </v>
      </c>
      <c r="AG12" s="225" t="str">
        <f>IF(ISNUMBER(Datos!DV12),Datos!DV12," - ")</f>
        <v xml:space="preserve"> - </v>
      </c>
      <c r="AH12" s="298"/>
      <c r="AI12" s="227"/>
      <c r="AJ12" s="225">
        <f>IF(ISNUMBER(Datos!M12),Datos!M12," - ")</f>
        <v>369</v>
      </c>
      <c r="AK12" s="229">
        <f>IF(ISNUMBER(Datos!N12),Datos!N12," - ")</f>
        <v>353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5.7941176470588243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-0.13219741480611047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341</v>
      </c>
      <c r="AA13" s="900">
        <f t="shared" si="2"/>
        <v>12</v>
      </c>
      <c r="AB13" s="900">
        <f t="shared" si="2"/>
        <v>0</v>
      </c>
      <c r="AC13" s="900">
        <f t="shared" si="2"/>
        <v>0</v>
      </c>
      <c r="AD13" s="900">
        <f t="shared" si="2"/>
        <v>0</v>
      </c>
      <c r="AE13" s="900">
        <f t="shared" si="2"/>
        <v>1479</v>
      </c>
      <c r="AF13" s="908">
        <f t="shared" si="2"/>
        <v>0</v>
      </c>
      <c r="AG13" s="908">
        <f t="shared" si="2"/>
        <v>0</v>
      </c>
      <c r="AH13" s="908">
        <f t="shared" si="2"/>
        <v>0</v>
      </c>
      <c r="AI13" s="908">
        <f t="shared" si="2"/>
        <v>0</v>
      </c>
      <c r="AJ13" s="908">
        <f t="shared" si="2"/>
        <v>376</v>
      </c>
      <c r="AK13" s="908">
        <f t="shared" si="2"/>
        <v>356</v>
      </c>
      <c r="AL13" s="908">
        <f t="shared" si="2"/>
        <v>0</v>
      </c>
      <c r="AM13" s="908">
        <f t="shared" si="2"/>
        <v>0</v>
      </c>
      <c r="AN13" s="908">
        <f t="shared" si="2"/>
        <v>0</v>
      </c>
      <c r="AO13" s="904">
        <f>IF(ISNUMBER(((NºAsuntos!I13/NºAsuntos!G13)*11)/factor_trimestre),((NºAsuntos!I13/NºAsuntos!G13)*11)/factor_trimestre," - ")</f>
        <v>5.772815533980582</v>
      </c>
      <c r="AP13" s="910" t="str">
        <f>IF(ISNUMBER(Datos!CI13/Datos!CJ13),Datos!CI13/Datos!CJ13," - ")</f>
        <v xml:space="preserve"> - </v>
      </c>
      <c r="AQ13" s="928">
        <f t="shared" ref="AQ13:AV13" si="3">SUBTOTAL(9,AQ9:AQ12)</f>
        <v>0</v>
      </c>
      <c r="AR13" s="928">
        <f t="shared" si="3"/>
        <v>-0.13219741480611047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739</v>
      </c>
      <c r="G16" s="225">
        <f>IF(ISNUMBER(IF(D_I="SI",Datos!I16,Datos!I16+Datos!AC16)),IF(D_I="SI",Datos!I16,Datos!I16+Datos!AC16)," - ")</f>
        <v>737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446</v>
      </c>
      <c r="Z16" s="619">
        <f>IF(ISNUMBER(Datos!Q16),Datos!Q16," - ")</f>
        <v>11</v>
      </c>
      <c r="AA16" s="332">
        <f>IF(ISNUMBER(IF(D_I="SI",Datos!L16,Datos!L16+Datos!AF16)),IF(D_I="SI",Datos!L16,Datos!L16+Datos!AF16)," - ")</f>
        <v>711</v>
      </c>
      <c r="AB16" s="334"/>
      <c r="AC16" s="334"/>
      <c r="AD16" s="484"/>
      <c r="AE16" s="484">
        <f>IF(ISNUMBER(Datos!R16),Datos!R16," - ")</f>
        <v>70</v>
      </c>
      <c r="AF16" s="229" t="str">
        <f>IF(ISNUMBER(Datos!BV16),Datos!BV16," - ")</f>
        <v xml:space="preserve"> - </v>
      </c>
      <c r="AG16" s="225"/>
      <c r="AH16" s="298"/>
      <c r="AI16" s="227"/>
      <c r="AJ16" s="225">
        <f>IF(ISNUMBER(Datos!M16),Datos!M16," - ")</f>
        <v>103</v>
      </c>
      <c r="AK16" s="229">
        <f>IF(ISNUMBER(Datos!N16),Datos!N16," - ")</f>
        <v>238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4.7825112107623324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1</v>
      </c>
      <c r="AA17" s="332">
        <f>IF(ISNUMBER(Datos!L17),Datos!L17,"-")</f>
        <v>20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1.5384615384615383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739</v>
      </c>
      <c r="G18" s="898">
        <f>SUBTOTAL(9,G15:G17)</f>
        <v>753</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485</v>
      </c>
      <c r="Z18" s="932">
        <f t="shared" si="5"/>
        <v>12</v>
      </c>
      <c r="AA18" s="932">
        <f t="shared" si="5"/>
        <v>731</v>
      </c>
      <c r="AB18" s="932">
        <f t="shared" si="5"/>
        <v>0</v>
      </c>
      <c r="AC18" s="932">
        <f t="shared" si="5"/>
        <v>0</v>
      </c>
      <c r="AD18" s="932">
        <f t="shared" si="5"/>
        <v>0</v>
      </c>
      <c r="AE18" s="932">
        <f t="shared" si="5"/>
        <v>71</v>
      </c>
      <c r="AF18" s="932">
        <f t="shared" si="5"/>
        <v>0</v>
      </c>
      <c r="AG18" s="932">
        <f t="shared" si="5"/>
        <v>0</v>
      </c>
      <c r="AH18" s="932">
        <f t="shared" si="5"/>
        <v>0</v>
      </c>
      <c r="AI18" s="932">
        <f t="shared" si="5"/>
        <v>0</v>
      </c>
      <c r="AJ18" s="932">
        <f t="shared" si="5"/>
        <v>106</v>
      </c>
      <c r="AK18" s="932">
        <f t="shared" si="5"/>
        <v>263</v>
      </c>
      <c r="AL18" s="932">
        <f t="shared" si="5"/>
        <v>0</v>
      </c>
      <c r="AM18" s="932">
        <f t="shared" si="5"/>
        <v>0</v>
      </c>
      <c r="AN18" s="932">
        <f t="shared" si="5"/>
        <v>0</v>
      </c>
      <c r="AO18" s="934">
        <f>IF(ISNUMBER(((NºAsuntos!I18/NºAsuntos!G18)*11)/factor_trimestre),((NºAsuntos!I18/NºAsuntos!G18)*11)/factor_trimestre," - ")</f>
        <v>4.5216494845360833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751</v>
      </c>
      <c r="G19" s="820">
        <f t="shared" si="7"/>
        <v>765</v>
      </c>
      <c r="H19" s="821">
        <f t="shared" si="7"/>
        <v>0</v>
      </c>
      <c r="I19" s="820">
        <f t="shared" si="7"/>
        <v>0</v>
      </c>
      <c r="J19" s="822">
        <f t="shared" si="7"/>
        <v>0</v>
      </c>
      <c r="K19" s="820">
        <f t="shared" si="7"/>
        <v>0</v>
      </c>
      <c r="L19" s="823">
        <f t="shared" si="7"/>
        <v>0</v>
      </c>
      <c r="M19" s="820">
        <f t="shared" si="7"/>
        <v>0</v>
      </c>
      <c r="N19" s="821">
        <f t="shared" si="7"/>
        <v>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495</v>
      </c>
      <c r="Z19" s="827">
        <f t="shared" si="8"/>
        <v>353</v>
      </c>
      <c r="AA19" s="828">
        <f t="shared" si="8"/>
        <v>743</v>
      </c>
      <c r="AB19" s="828">
        <f t="shared" si="8"/>
        <v>0</v>
      </c>
      <c r="AC19" s="828">
        <f t="shared" si="8"/>
        <v>0</v>
      </c>
      <c r="AD19" s="829">
        <f t="shared" si="8"/>
        <v>0</v>
      </c>
      <c r="AE19" s="829">
        <f t="shared" si="8"/>
        <v>1550</v>
      </c>
      <c r="AF19" s="830">
        <f t="shared" si="8"/>
        <v>0</v>
      </c>
      <c r="AG19" s="831">
        <f t="shared" si="8"/>
        <v>0</v>
      </c>
      <c r="AH19" s="832">
        <f t="shared" si="8"/>
        <v>0</v>
      </c>
      <c r="AI19" s="830">
        <f t="shared" si="8"/>
        <v>0</v>
      </c>
      <c r="AJ19" s="820">
        <f t="shared" si="8"/>
        <v>482</v>
      </c>
      <c r="AK19" s="820">
        <f t="shared" si="8"/>
        <v>619</v>
      </c>
      <c r="AL19" s="820">
        <f t="shared" si="8"/>
        <v>0</v>
      </c>
      <c r="AM19" s="833">
        <f t="shared" si="8"/>
        <v>0</v>
      </c>
      <c r="AN19" s="823">
        <f>IF(ISNUMBER(Datos!K19/Datos!J19),Datos!K19/Datos!J19," - ")</f>
        <v>1.1099236641221375</v>
      </c>
      <c r="AO19" s="823">
        <f>IF(ISNUMBER(FIND("06",Criterios!A8,1)),(IF(ISNUMBER(((Datos!R19/Datos!Q19)*11)/factor_trimestre),((Datos!R19/Datos!Q19)*11)/factor_trimestre," - ")),(IF(ISNUMBER(((Datos!L19/Datos!K19)*11)/factor_trimestre),((Datos!L19/Datos!K19)*11)/factor_trimestre," - ")))</f>
        <v>5.566712517193948</v>
      </c>
      <c r="AP19" s="834" t="str">
        <f>IF(ISNUMBER(Datos!CI19/Datos!CJ19),Datos!CI19/Datos!CJ19," - ")</f>
        <v xml:space="preserve"> - </v>
      </c>
      <c r="AQ19" s="834">
        <f>IF(OR(ISNUMBER(FIND("01",Criterios!A8,1)),ISNUMBER(FIND("02",Criterios!A8,1)),ISNUMBER(FIND("03",Criterios!A8,1)),ISNUMBER(FIND("04",Criterios!A8,1))),(J19-Y19+K19)/(F19-K19),(I19-Y19+K19)/(F19-K19))</f>
        <v>-0.65912117177097207</v>
      </c>
      <c r="AR19" s="834">
        <f>IF(ISNUMBER((Datos!P19-Datos!Q19+O19)/(Datos!R19-Datos!P19+Datos!Q19-O19)),(Datos!P19-Datos!Q19+O19)/(Datos!R19-Datos!P19+Datos!Q19-O19)," - ")</f>
        <v>-0.12725225225225226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419.73364570085795</v>
      </c>
      <c r="G21" s="552">
        <f>IF(ISNUMBER(STDEV(G8:G18)),STDEV(G8:G18),"-")</f>
        <v>400.79358777305805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170.03372214553991</v>
      </c>
      <c r="AK21" s="252"/>
      <c r="AL21" s="252">
        <f>IF(ISNUMBER(STDEV(AL8:AL18)),STDEV(AL8:AL18),"-")</f>
        <v>0</v>
      </c>
      <c r="AM21" s="254">
        <f>IF(ISNUMBER(STDEV(AM8:AM18)),STDEV(AM8:AM18),"-")</f>
        <v>0</v>
      </c>
      <c r="AN21" s="539">
        <f>IF(ISNUMBER(STDEV(AN8:AN18)),STDEV(AN8:AN18),"-")</f>
        <v>0</v>
      </c>
      <c r="AO21" s="540">
        <f>IF(ISNUMBER(STDEV(AO8:AO18)),STDEV(AO8:AO18),"-")</f>
        <v>1.5995183315905548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PG1sXL3e5i3j7uGLeYUF64ryRvEi6ntU/CFlHat2R3UgAVzU7KC+nJL1MIMaYA4pfWWzP2ILsTKo71RDQYS7Q==" saltValue="v8QvdgVResZSeC6mBbma0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cJ4nJ2qnp940bz8a9KbwnwAFXA+58ShVfzznAjwcgDxay5kl50ZN3OXRyBLE+OWHaFrDby1+zMcqJg7pFMojQ==" saltValue="6d4gS4OzSpB5EZEYxgpA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6MtKN6f2/OKrElBe5wBRFU0CIo8yx8SAnIbTTOQGlGXbksphc7D1PuP+G5nYXthdsXiXCU0lYD3JjD4vmPA==" saltValue="t+Vw+/5SmItpMDIfi7fm4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0.36504854368932038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0.2581283007049921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6+N38EJ2CSZroD+d5pSruOFB1KBwHF2ysthGJJDGlVO5zy8m3y78hOp+4NehpgbQPIRlJb8TZU09+9k17rrXSg==" saltValue="OYFaaQAcTC+SQwB1FmNAw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5XuFCHNBgvSiiKiLgK4A2B9aqYwLPhNgsS/umPYFXUCY1vkQQmcz69rpXL60iy4xnIqxjaQN/MGvlqsPwPm7+Q==" saltValue="oGSRAiLQZtG17BldnHzn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O PORRIÑO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10</v>
      </c>
      <c r="F10" s="404">
        <f>IF(ISNUMBER(E10/B10),E10/B10," - ")</f>
        <v>10</v>
      </c>
      <c r="G10" s="403">
        <f>IF(ISNUMBER(Datos!K10),Datos!K10," - ")</f>
        <v>10</v>
      </c>
      <c r="H10" s="404">
        <f>IF(ISNUMBER(G10/B10),G10/B10," - ")</f>
        <v>10</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2094</v>
      </c>
      <c r="D12" s="404">
        <f>IF(ISNUMBER(C12/Datos!BH12),C12/Datos!BH12," - ")</f>
        <v>698</v>
      </c>
      <c r="E12" s="403">
        <f>IF(ISNUMBER(IF(J_V="SI",Datos!J12,Datos!J12+Datos!Z12)),IF(J_V="SI",Datos!J12,Datos!J12+Datos!Z12)," - ")</f>
        <v>895</v>
      </c>
      <c r="F12" s="404">
        <f>IF(ISNUMBER(E12/B12),E12/B12," - ")</f>
        <v>298.33333333333331</v>
      </c>
      <c r="G12" s="403">
        <f>IF(ISNUMBER(IF(J_V="SI",Datos!K12,Datos!K12+Datos!AA12)),IF(J_V="SI",Datos!K12,Datos!K12+Datos!AA12)," - ")</f>
        <v>1020</v>
      </c>
      <c r="H12" s="404">
        <f>IF(ISNUMBER(G12/B12),G12/B12," - ")</f>
        <v>340</v>
      </c>
      <c r="I12" s="403">
        <f>IF(ISNUMBER(IF(J_V="SI",Datos!L12,Datos!L12+Datos!AB12)),IF(J_V="SI",Datos!L12,Datos!L12+Datos!AB12)," - ")</f>
        <v>1970</v>
      </c>
      <c r="J12" s="404">
        <f>IF(ISNUMBER(I12/B12),I12/B12," - ")</f>
        <v>656.66666666666663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2106</v>
      </c>
      <c r="D13" s="850" t="str">
        <f>IF(ISNUMBER(C13/Datos!BI13),C13/Datos!BI13," - ")</f>
        <v xml:space="preserve"> - </v>
      </c>
      <c r="E13" s="849">
        <f>SUBTOTAL(9,E8:E12)</f>
        <v>905</v>
      </c>
      <c r="F13" s="850">
        <f>IF(ISNUMBER(E13/B13),E13/B13," - ")</f>
        <v>301.66666666666669</v>
      </c>
      <c r="G13" s="849">
        <f>SUBTOTAL(9,G8:G12)</f>
        <v>1030</v>
      </c>
      <c r="H13" s="850">
        <f>IF(ISNUMBER(G13/B13),G13/B13," - ")</f>
        <v>343.33333333333331</v>
      </c>
      <c r="I13" s="849">
        <f>SUBTOTAL(9,I8:I12)</f>
        <v>1982</v>
      </c>
      <c r="J13" s="850">
        <f>IF(ISNUMBER(I13/B13),I13/B13," - ")</f>
        <v>660.66666666666663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737</v>
      </c>
      <c r="D16" s="404">
        <f>IF(ISNUMBER(C16/Datos!BH16),C16/Datos!BH16," - ")</f>
        <v>245.66666666666666</v>
      </c>
      <c r="E16" s="403">
        <f>IF(ISNUMBER(IF(D_I="SI",Datos!J16,Datos!J16+Datos!AD16)),IF(D_I="SI",Datos!J16,Datos!J16+Datos!AD16)," - ")</f>
        <v>418</v>
      </c>
      <c r="F16" s="404">
        <f>IF(ISNUMBER(E16/B16),E16/B16," - ")</f>
        <v>139.33333333333334</v>
      </c>
      <c r="G16" s="403">
        <f>IF(ISNUMBER(IF(D_I="SI",Datos!K16,Datos!K16+Datos!AE16)),IF(D_I="SI",Datos!K16,Datos!K16+Datos!AE16)," - ")</f>
        <v>446</v>
      </c>
      <c r="H16" s="404">
        <f>IF(ISNUMBER(G16/B16),G16/B16," - ")</f>
        <v>148.66666666666666</v>
      </c>
      <c r="I16" s="403">
        <f>IF(ISNUMBER(IF(D_I="SI",Datos!L16,Datos!L16+Datos!AF16)),IF(D_I="SI",Datos!L16,Datos!L16+Datos!AF16)," - ")</f>
        <v>711</v>
      </c>
      <c r="J16" s="404">
        <f>IF(ISNUMBER(I16/B16),I16/B16," - ")</f>
        <v>237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43</v>
      </c>
      <c r="F17" s="404">
        <f>IF(ISNUMBER(E17/B17),E17/B17," - ")</f>
        <v>43</v>
      </c>
      <c r="G17" s="403">
        <f>IF(ISNUMBER(IF(D_I="SI",Datos!K17,Datos!K17+Datos!AE17)),IF(D_I="SI",Datos!K17,Datos!K17+Datos!AE17)," - ")</f>
        <v>39</v>
      </c>
      <c r="H17" s="404">
        <f>IF(ISNUMBER(G17/B17),G17/B17," - ")</f>
        <v>39</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753</v>
      </c>
      <c r="D18" s="850" t="str">
        <f>IF(ISNUMBER(C18/Datos!BI18),C18/Datos!BI18," - ")</f>
        <v xml:space="preserve"> - </v>
      </c>
      <c r="E18" s="849">
        <f>SUBTOTAL(9,E14:E17)</f>
        <v>461</v>
      </c>
      <c r="F18" s="850">
        <f>IF(ISNUMBER(E18/B18),E18/B18," - ")</f>
        <v>153.66666666666666</v>
      </c>
      <c r="G18" s="849">
        <f>SUBTOTAL(9,G14:G17)</f>
        <v>485</v>
      </c>
      <c r="H18" s="850">
        <f>IF(ISNUMBER(G18/B18),G18/B18," - ")</f>
        <v>161.66666666666666</v>
      </c>
      <c r="I18" s="849">
        <f>SUBTOTAL(9,I14:I17)</f>
        <v>731</v>
      </c>
      <c r="J18" s="850">
        <f>IF(ISNUMBER(I18/B18),I18/B18," - ")</f>
        <v>243.66666666666666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2859</v>
      </c>
      <c r="D19" s="795" t="str">
        <f>IF(ISNUMBER(C19/Datos!BI19),C19/Datos!BI19," - ")</f>
        <v xml:space="preserve"> - </v>
      </c>
      <c r="E19" s="794">
        <f>SUBTOTAL(9,E9:E18)</f>
        <v>1366</v>
      </c>
      <c r="F19" s="795">
        <f>IF(ISNUMBER(E19/B19),E19/B19," - ")</f>
        <v>455.33333333333331</v>
      </c>
      <c r="G19" s="794">
        <f>SUBTOTAL(9,G9:G18)</f>
        <v>1515</v>
      </c>
      <c r="H19" s="795">
        <f>IF(ISNUMBER(G19/B19),G19/B19," - ")</f>
        <v>505</v>
      </c>
      <c r="I19" s="794">
        <f>SUBTOTAL(9,I9:I18)</f>
        <v>2713</v>
      </c>
      <c r="J19" s="795">
        <f>IF(ISNUMBER(I19/B19),I19/B19," - ")</f>
        <v>904.33333333333337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ZZ3/vgscqllGahzm8Df1NzyEmVMgQMUDmRP/ujgUuz88iiiPFZFhUCgo9vCPx1Efj4igS6N+6yaVQQCirvHn0Q==" saltValue="jhAcqVqb9QyBV55XGKM4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O PORRIÑO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369</v>
      </c>
      <c r="AM12" s="690">
        <f>IF(ISNUMBER(Datos!N12+DatosP!N16),Datos!N12+DatosP!N16," - ")</f>
        <v>353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5.7941176470588243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-0.13219741480611047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341</v>
      </c>
      <c r="AE13" s="939">
        <f t="shared" si="1"/>
        <v>0</v>
      </c>
      <c r="AF13" s="939">
        <f t="shared" si="1"/>
        <v>12</v>
      </c>
      <c r="AG13" s="939">
        <f t="shared" si="1"/>
        <v>0</v>
      </c>
      <c r="AH13" s="939">
        <f t="shared" si="1"/>
        <v>1477</v>
      </c>
      <c r="AI13" s="939">
        <f t="shared" si="1"/>
        <v>0</v>
      </c>
      <c r="AJ13" s="939">
        <f t="shared" si="1"/>
        <v>0</v>
      </c>
      <c r="AK13" s="939">
        <f t="shared" si="1"/>
        <v>0</v>
      </c>
      <c r="AL13" s="939">
        <f t="shared" si="1"/>
        <v>376</v>
      </c>
      <c r="AM13" s="939">
        <f t="shared" si="1"/>
        <v>356</v>
      </c>
      <c r="AN13" s="939">
        <f t="shared" si="1"/>
        <v>0</v>
      </c>
      <c r="AO13" s="939">
        <f t="shared" si="1"/>
        <v>0</v>
      </c>
      <c r="AP13" s="944">
        <f>IF(ISNUMBER(((Datos!L13/Datos!K13)*11)/factor_trimestre),((Datos!L13/Datos!K13)*11)/factor_trimestre," - ")</f>
        <v>6.0897832817337472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-0.13219741480611047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4.5216494845360833</v>
      </c>
      <c r="AQ18" s="944">
        <f>IF(ISNUMBER(((Datos!M18/Datos!L18)*11)/factor_trimestre),((Datos!M18/Datos!L18)*11)/factor_trimestre," - ")</f>
        <v>0.43502051983584128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-1.3888888888888888E-2</v>
      </c>
      <c r="AW18" s="946">
        <f>IF(ISNUMBER((Datos!Q18-Datos!R18)/(Datos!S18-Datos!Q18+Datos!R18)),(Datos!Q18-Datos!R18)/(Datos!S18-Datos!Q18+Datos!R18)," - ")</f>
        <v>-6.2699256110520726E-2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341</v>
      </c>
      <c r="AE19" s="957">
        <f t="shared" si="5"/>
        <v>0</v>
      </c>
      <c r="AF19" s="958">
        <f t="shared" si="5"/>
        <v>12</v>
      </c>
      <c r="AG19" s="958">
        <f t="shared" si="5"/>
        <v>0</v>
      </c>
      <c r="AH19" s="958">
        <f t="shared" si="5"/>
        <v>1477</v>
      </c>
      <c r="AI19" s="958">
        <f t="shared" si="5"/>
        <v>0</v>
      </c>
      <c r="AJ19" s="959">
        <f t="shared" si="5"/>
        <v>0</v>
      </c>
      <c r="AK19" s="959">
        <f t="shared" si="5"/>
        <v>0</v>
      </c>
      <c r="AL19" s="951">
        <f t="shared" si="5"/>
        <v>376</v>
      </c>
      <c r="AM19" s="951">
        <f t="shared" si="5"/>
        <v>356</v>
      </c>
      <c r="AN19" s="951">
        <f t="shared" si="5"/>
        <v>0</v>
      </c>
      <c r="AO19" s="951">
        <f t="shared" si="5"/>
        <v>0</v>
      </c>
      <c r="AP19" s="951">
        <f>IF(ISNUMBER(((Datos!L19/Datos!K19)*11)/factor_trimestre),((Datos!L19/Datos!K19)*11)/factor_trimestre," - ")</f>
        <v>5.566712517193948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-0.12725225225225226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213.08057943729489</v>
      </c>
      <c r="AM21" s="736"/>
      <c r="AN21" s="736">
        <f>IF(ISNUMBER(STDEV(AN8:AN18)),STDEV(AN8:AN18),"-")</f>
        <v>0</v>
      </c>
      <c r="AO21" s="742">
        <f>IF(ISNUMBER(STDEV(AO8:AO18)),STDEV(AO8:AO18),"-")</f>
        <v>0</v>
      </c>
      <c r="AP21" s="779">
        <f>IF(ISNUMBER(STDEV(AP8:AP18)),STDEV(AP8:AP18),"-")</f>
        <v>1.1557193939114545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SJoM5AnkDIS27DHeFjaGxbE8wm5c7rHEiSuOPSb8DPj8J1GDaQLuhK1w7NRHnGSz9z7VhHBzY1cDUaEkYnyhDg==" saltValue="UZYkdeoWn71RhOOi1LFXT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O PORRIÑO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TQrKvl/NdQBBy1G/Nn8Gd+xATMoDq0f0uwh79TOBmbjI1iaHIfbJjWljcQ0r6w6AvTmBVhbd1Ou47Qc/l2LCQ==" saltValue="u4y9t+vUFQZyjzgTGkik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O PORRIÑO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369</v>
      </c>
      <c r="E12" s="404">
        <f t="shared" si="0"/>
        <v>123</v>
      </c>
      <c r="F12" s="403">
        <f>IF(ISNUMBER(Datos!N12),Datos!N12," - ")</f>
        <v>353</v>
      </c>
      <c r="G12" s="404">
        <f t="shared" si="1"/>
        <v>117.66666666666667</v>
      </c>
      <c r="H12" s="403">
        <f>IF(ISNUMBER(Datos!O12),Datos!O12," - ")</f>
        <v>345</v>
      </c>
      <c r="I12" s="404">
        <f t="shared" si="2"/>
        <v>115</v>
      </c>
      <c r="BZ12" s="1186">
        <f>Datos!EZ12</f>
        <v>0</v>
      </c>
    </row>
    <row r="13" spans="1:78" ht="14.25" thickTop="1" thickBot="1">
      <c r="A13" s="848" t="str">
        <f>Datos!A13</f>
        <v>TOTAL</v>
      </c>
      <c r="B13" s="849">
        <f>Datos!AP13</f>
        <v>3</v>
      </c>
      <c r="C13" s="851">
        <f>Datos!AR13</f>
        <v>3</v>
      </c>
      <c r="D13" s="849">
        <f>SUBTOTAL(9,D9:D12)</f>
        <v>376</v>
      </c>
      <c r="E13" s="850">
        <f t="shared" si="0"/>
        <v>125.33333333333333</v>
      </c>
      <c r="F13" s="849">
        <f>SUBTOTAL(9,F9:F12)</f>
        <v>356</v>
      </c>
      <c r="G13" s="850">
        <f t="shared" si="1"/>
        <v>118.66666666666667</v>
      </c>
      <c r="H13" s="849">
        <f>SUBTOTAL(9,H9:H12)</f>
        <v>345</v>
      </c>
      <c r="I13" s="850">
        <f>IF(ISNUMBER(H13/B13),H13/B13," - ")</f>
        <v>115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103</v>
      </c>
      <c r="E16" s="404">
        <f t="shared" si="3"/>
        <v>34.333333333333336</v>
      </c>
      <c r="F16" s="403">
        <f>IF(ISNUMBER(Datos!N16),Datos!N16," - ")</f>
        <v>238</v>
      </c>
      <c r="G16" s="404">
        <f t="shared" si="4"/>
        <v>79.333333333333329</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106</v>
      </c>
      <c r="E18" s="850">
        <f t="shared" si="3"/>
        <v>35.333333333333336</v>
      </c>
      <c r="F18" s="849">
        <f>SUBTOTAL(9,F15:F17)</f>
        <v>263</v>
      </c>
      <c r="G18" s="850">
        <f t="shared" si="4"/>
        <v>87.666666666666671</v>
      </c>
      <c r="H18" s="849">
        <f>SUBTOTAL(9,H15:H17)</f>
        <v>10</v>
      </c>
      <c r="I18" s="850">
        <f>IF(ISNUMBER(H18/B18),H18/B18," - ")</f>
        <v>3.3333333333333335</v>
      </c>
      <c r="BZ18" s="1186"/>
    </row>
    <row r="19" spans="1:78" ht="14.25" thickTop="1" thickBot="1">
      <c r="A19" s="793" t="str">
        <f>Datos!A19</f>
        <v>TOTAL JURISDICCIONES</v>
      </c>
      <c r="B19" s="794">
        <f>Datos!AP19</f>
        <v>3</v>
      </c>
      <c r="C19" s="794">
        <f>Datos!AR19</f>
        <v>3</v>
      </c>
      <c r="D19" s="794">
        <f>SUBTOTAL(9,D8:D18)</f>
        <v>482</v>
      </c>
      <c r="E19" s="795">
        <f>IF(ISNUMBER(D19/B19),D19/B19," - ")</f>
        <v>160.66666666666666</v>
      </c>
      <c r="F19" s="794">
        <f>SUBTOTAL(9,F8:F18)</f>
        <v>619</v>
      </c>
      <c r="G19" s="795">
        <f>IF(ISNUMBER(F19/B19),F19/B19," - ")</f>
        <v>206.33333333333334</v>
      </c>
      <c r="H19" s="794">
        <f>SUBTOTAL(9,H8:H18)</f>
        <v>355</v>
      </c>
      <c r="I19" s="795">
        <f>IF(ISNUMBER(H19/B19),H19/B19," - ")</f>
        <v>118.33333333333333</v>
      </c>
    </row>
    <row r="22" spans="1:78">
      <c r="A22" s="391" t="str">
        <f>Criterios!A4</f>
        <v>Fecha Informe: 03 jun. 2025</v>
      </c>
    </row>
    <row r="27" spans="1:78">
      <c r="A27" s="414"/>
    </row>
  </sheetData>
  <sheetProtection algorithmName="SHA-512" hashValue="mxCm9+UPvPCVkHEsy5dmTV2EHRGfNRJ3R6DfCDg/Fj7+ye4D8PDnEJO96KHFCTBOTZcvu2Y9UKNwiDGmvh+28A==" saltValue="5458/hl5HShZrsxKVBnh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O PORRIÑO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v>
      </c>
      <c r="C12" s="434">
        <f>IF(ISNUMBER(Datos!Q12),Datos!Q12," - ")</f>
        <v>341</v>
      </c>
      <c r="D12" s="408">
        <f>IF(ISNUMBER(Datos!R12),Datos!R12," - ")</f>
        <v>1477</v>
      </c>
    </row>
    <row r="13" spans="1:4" ht="14.25" thickTop="1" thickBot="1">
      <c r="A13" s="848" t="str">
        <f>Datos!A13</f>
        <v>TOTAL</v>
      </c>
      <c r="B13" s="849">
        <f>SUBTOTAL(9,B9:B12)</f>
        <v>116</v>
      </c>
      <c r="C13" s="853">
        <f>SUBTOTAL(9,C9:C12)</f>
        <v>341</v>
      </c>
      <c r="D13" s="851">
        <f>SUBTOTAL(9,D9:D12)</f>
        <v>1479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11</v>
      </c>
      <c r="D16" s="408">
        <f>IF(ISNUMBER(Datos!R16),Datos!R16," - ")</f>
        <v>70</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11</v>
      </c>
      <c r="C18" s="853">
        <f>SUBTOTAL(9,C15:C17)</f>
        <v>12</v>
      </c>
      <c r="D18" s="851">
        <f>SUBTOTAL(9,D15:D17)</f>
        <v>71</v>
      </c>
    </row>
    <row r="19" spans="1:4" ht="16.5" customHeight="1" thickTop="1" thickBot="1">
      <c r="A19" s="793" t="str">
        <f>Datos!A19</f>
        <v>TOTAL JURISDICCIONES</v>
      </c>
      <c r="B19" s="798">
        <f>SUBTOTAL(9,B8:B18)</f>
        <v>127</v>
      </c>
      <c r="C19" s="799">
        <f>SUBTOTAL(9,C8:C18)</f>
        <v>353</v>
      </c>
      <c r="D19" s="800">
        <f>SUBTOTAL(9,D8:D18)</f>
        <v>1550</v>
      </c>
    </row>
    <row r="20" spans="1:4" ht="7.5" customHeight="1"/>
    <row r="21" spans="1:4" ht="6" customHeight="1"/>
    <row r="22" spans="1:4">
      <c r="A22" s="391" t="str">
        <f>Criterios!A4</f>
        <v>Fecha Informe: 03 jun. 2025</v>
      </c>
    </row>
    <row r="27" spans="1:4">
      <c r="A27" s="414"/>
    </row>
  </sheetData>
  <sheetProtection algorithmName="SHA-512" hashValue="tMXhaa9S+6wYch3h7vrxQ2Rbe7zkW0SoHi03cjdpxea8e6JMU6/xzwEOpuq/dePKow76C4QSKk8ejEFGXrKN3Q==" saltValue="lnHrE4DbOve8nqU/MtPk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O PORRIÑO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-0.36842105263157893</v>
      </c>
      <c r="C10" s="456">
        <f>IF(ISNUMBER((Datos!J10-Datos!T10)/Datos!T10),(Datos!J10-Datos!T10)/Datos!T10," - ")</f>
        <v>1</v>
      </c>
      <c r="D10" s="456">
        <f>IF(ISNUMBER((Datos!K10-Datos!U10)/Datos!U10),(Datos!K10-Datos!U10)/Datos!U10," - ")</f>
        <v>-0.16666666666666666</v>
      </c>
      <c r="E10" s="456">
        <f>IF(ISNUMBER((Datos!L10-Datos!V10)/Datos!V10),(Datos!L10-Datos!V10)/Datos!V10," - ")</f>
        <v>0</v>
      </c>
      <c r="F10" s="456">
        <f>IF(ISNUMBER((Datos!M10-Datos!W10)/Datos!W10),(Datos!M10-Datos!W10)/Datos!W10," - ")</f>
        <v>1.3333333333333333</v>
      </c>
      <c r="G10" s="457">
        <f>IF(ISNUMBER((Datos!N10-Datos!X10)/Datos!X10),(Datos!N10-Datos!X10)/Datos!X10," - ")</f>
        <v>-0.66666666666666663</v>
      </c>
      <c r="H10" s="455">
        <f>IF(ISNUMBER(((NºAsuntos!G10/NºAsuntos!E10)-Datos!BD10)/Datos!BD10),((NºAsuntos!G10/NºAsuntos!E10)-Datos!BD10)/Datos!BD10," - ")</f>
        <v>-0.58333333333333337</v>
      </c>
      <c r="I10" s="456">
        <f>IF(ISNUMBER(((NºAsuntos!I10/NºAsuntos!G10)-Datos!BE10)/Datos!BE10),((NºAsuntos!I10/NºAsuntos!G10)-Datos!BE10)/Datos!BE10," - ")</f>
        <v>0.19999999999999996</v>
      </c>
      <c r="J10" s="461">
        <f>IF(ISNUMBER((('Resol  Asuntos'!D10/NºAsuntos!G10)-Datos!BF10)/Datos!BF10),(('Resol  Asuntos'!D10/NºAsuntos!G10)-Datos!BF10)/Datos!BF10," - ")</f>
        <v>1.7999999999999998</v>
      </c>
      <c r="K10" s="462">
        <f>IF(ISNUMBER((((NºAsuntos!C10+NºAsuntos!E10)/NºAsuntos!G10)-Datos!BG10)/Datos!BG10),(((NºAsuntos!C10+NºAsuntos!E10)/NºAsuntos!G10)-Datos!BG10)/Datos!BG10," - ")</f>
        <v>0.10000000000000009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0.12399355877616747</v>
      </c>
      <c r="C12" s="456">
        <f>IF(ISNUMBER(
   IF(J_V="SI",(Datos!J12-Datos!T12)/Datos!T12,(Datos!J12+Datos!Z12-(Datos!T12+Datos!AH12))/(Datos!T12+Datos!AH12))
     ),IF(J_V="SI",(Datos!J12-Datos!T12)/Datos!T12,(Datos!J12+Datos!Z12-(Datos!T12+Datos!AH12))/(Datos!T12+Datos!AH12))," - ")</f>
        <v>0.20945945945945946</v>
      </c>
      <c r="D12" s="456">
        <f>IF(ISNUMBER(
   IF(J_V="SI",(Datos!K12-Datos!U12)/Datos!U12,(Datos!K12+Datos!AA12-(Datos!U12+Datos!AI12))/(Datos!U12+Datos!AI12))
     ),IF(J_V="SI",(Datos!K12-Datos!U12)/Datos!U12,(Datos!K12+Datos!AA12-(Datos!U12+Datos!AI12))/(Datos!U12+Datos!AI12))," - ")</f>
        <v>0.49779735682819382</v>
      </c>
      <c r="E12" s="456">
        <f>IF(ISNUMBER(
   IF(J_V="SI",(Datos!L12-Datos!V12)/Datos!V12,(Datos!L12+Datos!AB12-(Datos!V12+Datos!AJ12))/(Datos!V12+Datos!AJ12))
     ),IF(J_V="SI",(Datos!L12-Datos!V12)/Datos!V12,(Datos!L12+Datos!AB12-(Datos!V12+Datos!AJ12))/(Datos!V12+Datos!AJ12))," - ")</f>
        <v>2.497398543184183E-2</v>
      </c>
      <c r="F12" s="456">
        <f>IF(ISNUMBER((Datos!M12-Datos!W12)/Datos!W12),(Datos!M12-Datos!W12)/Datos!W12," - ")</f>
        <v>0.85427135678391963</v>
      </c>
      <c r="G12" s="457">
        <f>IF(ISNUMBER((Datos!N12-Datos!X12)/Datos!X12),(Datos!N12-Datos!X12)/Datos!X12," - ")</f>
        <v>0.45267489711934156</v>
      </c>
      <c r="H12" s="455">
        <f>IF(ISNUMBER(((NºAsuntos!G12/NºAsuntos!E12)-Datos!BD12)/Datos!BD12),((NºAsuntos!G12/NºAsuntos!E12)-Datos!BD12)/Datos!BD12," - ")</f>
        <v>0.23840228385794782</v>
      </c>
      <c r="I12" s="456">
        <f>IF(ISNUMBER(((NºAsuntos!I12/NºAsuntos!G12)-Datos!BE12)/Datos!BE12),((NºAsuntos!I12/NºAsuntos!G12)-Datos!BE12)/Datos!BE12," - ")</f>
        <v>-0.31567913325579977</v>
      </c>
      <c r="J12" s="461">
        <f>IF(ISNUMBER((('Resol  Asuntos'!D12/NºAsuntos!G12)-Datos!BF12)/Datos!BF12),(('Resol  Asuntos'!D12/NºAsuntos!G12)-Datos!BF12)/Datos!BF12," - ")</f>
        <v>1.3834422657952053E-2</v>
      </c>
      <c r="K12" s="462">
        <f>IF(ISNUMBER((((NºAsuntos!C12+NºAsuntos!E12)/NºAsuntos!G12)-Datos!BG12)/Datos!BG12),(((NºAsuntos!C12+NºAsuntos!E12)/NºAsuntos!G12)-Datos!BG12)/Datos!BG12," - ")</f>
        <v>-0.23334726898827154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0.11902231668437832</v>
      </c>
      <c r="C13" s="855">
        <f>IF(ISNUMBER(
   IF(J_V="SI",(Datos!J13-Datos!T13)/Datos!T13,(Datos!J13+Datos!Z13-(Datos!T13+Datos!AH13))/(Datos!T13+Datos!AH13))
     ),IF(J_V="SI",(Datos!J13-Datos!T13)/Datos!T13,(Datos!J13+Datos!Z13-(Datos!T13+Datos!AH13))/(Datos!T13+Datos!AH13))," - ")</f>
        <v>0.21476510067114093</v>
      </c>
      <c r="D13" s="855">
        <f>IF(ISNUMBER(
   IF(J_V="SI",(Datos!K13-Datos!U13)/Datos!U13,(Datos!K13+Datos!AA13-(Datos!U13+Datos!AI13))/(Datos!U13+Datos!AI13))
     ),IF(J_V="SI",(Datos!K13-Datos!U13)/Datos!U13,(Datos!K13+Datos!AA13-(Datos!U13+Datos!AI13))/(Datos!U13+Datos!AI13))," - ")</f>
        <v>0.48629148629148627</v>
      </c>
      <c r="E13" s="855">
        <f>IF(ISNUMBER(
   IF(J_V="SI",(Datos!L13-Datos!V13)/Datos!V13,(Datos!L13+Datos!AB13-(Datos!V13+Datos!AJ13))/(Datos!V13+Datos!AJ13))
     ),IF(J_V="SI",(Datos!L13-Datos!V13)/Datos!V13,(Datos!L13+Datos!AB13-(Datos!V13+Datos!AJ13))/(Datos!V13+Datos!AJ13))," - ")</f>
        <v>2.481902792140641E-2</v>
      </c>
      <c r="F13" s="856">
        <f>IF(ISNUMBER((Datos!M13-Datos!W13)/Datos!W13),(Datos!M13-Datos!W13)/Datos!W13," - ")</f>
        <v>0.86138613861386137</v>
      </c>
      <c r="G13" s="857">
        <f>IF(ISNUMBER((Datos!N13-Datos!X13)/Datos!X13),(Datos!N13-Datos!X13)/Datos!X13," - ")</f>
        <v>0.41269841269841268</v>
      </c>
      <c r="H13" s="857">
        <f>IF(ISNUMBER(((NºAsuntos!G13/NºAsuntos!E13)-Datos!BD13)/Datos!BD13),((NºAsuntos!G13/NºAsuntos!E13)-Datos!BD13)/Datos!BD13," - ")</f>
        <v>0.22352172075928975</v>
      </c>
      <c r="I13" s="857">
        <f>IF(ISNUMBER(((NºAsuntos!I13/NºAsuntos!G13)-Datos!BE13)/Datos!BE13),((NºAsuntos!I13/NºAsuntos!G13)-Datos!BE13)/Datos!BE13," - ")</f>
        <v>-0.31048583849559747</v>
      </c>
      <c r="J13" s="857">
        <f>IF(ISNUMBER((('Resol  Asuntos'!D13/NºAsuntos!G13)-Datos!BF13)/Datos!BF13),(('Resol  Asuntos'!D13/NºAsuntos!G13)-Datos!BF13)/Datos!BF13," - ")</f>
        <v>2.836845844186588E-2</v>
      </c>
      <c r="K13" s="857">
        <f>IF(ISNUMBER((((NºAsuntos!C13+NºAsuntos!E13)/NºAsuntos!G13)-Datos!BG13)/Datos!BG13),(((NºAsuntos!C13+NºAsuntos!E13)/NºAsuntos!G13)-Datos!BG13)/Datos!BG13," - ")</f>
        <v>-0.22883609713911915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-0.13599062133645956</v>
      </c>
      <c r="C16" s="456">
        <f>IF(ISNUMBER(
   IF(D_I="SI",(Datos!J16-Datos!T16)/Datos!T16,(Datos!J16+Datos!AD16-(Datos!T16+Datos!AL16))/(Datos!T16+Datos!AL16))
     ),IF(D_I="SI",(Datos!J16-Datos!T16)/Datos!T16,(Datos!J16+Datos!AD16-(Datos!T16+Datos!AL16))/(Datos!T16+Datos!AL16))," - ")</f>
        <v>-0.17227722772277226</v>
      </c>
      <c r="D16" s="456">
        <f>IF(ISNUMBER(
   IF(D_I="SI",(Datos!K16-Datos!U16)/Datos!U16,(Datos!K16+Datos!AE16-(Datos!U16+Datos!AM16))/(Datos!U16+Datos!AM16))
     ),IF(D_I="SI",(Datos!K16-Datos!U16)/Datos!U16,(Datos!K16+Datos!AE16-(Datos!U16+Datos!AM16))/(Datos!U16+Datos!AM16))," - ")</f>
        <v>-0.19056261343012704</v>
      </c>
      <c r="E16" s="456">
        <f>IF(ISNUMBER(
   IF(D_I="SI",(Datos!L16-Datos!V16)/Datos!V16,(Datos!L16+Datos!AF16-(Datos!V16+Datos!AN16))/(Datos!V16+Datos!AN16))
     ),IF(D_I="SI",(Datos!L16-Datos!V16)/Datos!V16,(Datos!L16+Datos!AF16-(Datos!V16+Datos!AN16))/(Datos!V16+Datos!AN16))," - ")</f>
        <v>-0.1276073619631902</v>
      </c>
      <c r="F16" s="456">
        <f>IF(ISNUMBER((Datos!M16-Datos!W16)/Datos!W16),(Datos!M16-Datos!W16)/Datos!W16," - ")</f>
        <v>0.41095890410958902</v>
      </c>
      <c r="G16" s="457">
        <f>IF(ISNUMBER((Datos!N16-Datos!X16)/Datos!X16),(Datos!N16-Datos!X16)/Datos!X16," - ")</f>
        <v>-0.22977346278317151</v>
      </c>
      <c r="H16" s="455">
        <f>IF(ISNUMBER(((NºAsuntos!G16/NºAsuntos!E16)-Datos!BD16)/Datos!BD16),((NºAsuntos!G16/NºAsuntos!E16)-Datos!BD16)/Datos!BD16," - ")</f>
        <v>-2.2091195651230199E-2</v>
      </c>
      <c r="I16" s="456">
        <f>IF(ISNUMBER(((NºAsuntos!I16/NºAsuntos!G16)-Datos!BE16)/Datos!BE16),((NºAsuntos!I16/NºAsuntos!G16)-Datos!BE16)/Datos!BE16," - ")</f>
        <v>7.7776555063413022E-2</v>
      </c>
      <c r="J16" s="461">
        <f>IF(ISNUMBER((('Resol  Asuntos'!D16/NºAsuntos!G16)-Datos!BF16)/Datos!BF16),(('Resol  Asuntos'!D16/NºAsuntos!G16)-Datos!BF16)/Datos!BF16," - ")</f>
        <v>0.74313532772283308</v>
      </c>
      <c r="K16" s="462">
        <f>IF(ISNUMBER((((NºAsuntos!C16+NºAsuntos!E16)/NºAsuntos!G16)-Datos!BG16)/Datos!BG16),(((NºAsuntos!C16+NºAsuntos!E16)/NºAsuntos!G16)-Datos!BG16)/Datos!BG16," - ")</f>
        <v>5.0748925153714416E-2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-0.44827586206896552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-0.27777777777777779</v>
      </c>
      <c r="E17" s="456">
        <f>IF(ISNUMBER(
   IF(D_I="SI",(Datos!L17-Datos!V17)/Datos!V17,(Datos!L17+Datos!AF17-(Datos!V17+Datos!AN17))/(Datos!V17+Datos!AN17))
     ),IF(D_I="SI",(Datos!L17-Datos!V17)/Datos!V17,(Datos!L17+Datos!AF17-(Datos!V17+Datos!AN17))/(Datos!V17+Datos!AN17))," - ")</f>
        <v>5.2631578947368418E-2</v>
      </c>
      <c r="F17" s="456">
        <f>IF(ISNUMBER((Datos!M17-Datos!W17)/Datos!W17),(Datos!M17-Datos!W17)/Datos!W17," - ")</f>
        <v>-0.66666666666666663</v>
      </c>
      <c r="G17" s="457">
        <f>IF(ISNUMBER((Datos!N17-Datos!X17)/Datos!X17),(Datos!N17-Datos!X17)/Datos!X17," - ")</f>
        <v>0</v>
      </c>
      <c r="H17" s="455">
        <f>IF(ISNUMBER(((NºAsuntos!G17/NºAsuntos!E17)-Datos!BD17)/Datos!BD17),((NºAsuntos!G17/NºAsuntos!E17)-Datos!BD17)/Datos!BD17," - ")</f>
        <v>-0.27777777777777785</v>
      </c>
      <c r="I17" s="456">
        <f>IF(ISNUMBER(((NºAsuntos!I17/NºAsuntos!G17)-Datos!BE17)/Datos!BE17),((NºAsuntos!I17/NºAsuntos!G17)-Datos!BE17)/Datos!BE17," - ")</f>
        <v>0.45748987854250994</v>
      </c>
      <c r="J17" s="461">
        <f>IF(ISNUMBER((('Resol  Asuntos'!D17/NºAsuntos!G17)-Datos!BF17)/Datos!BF17),(('Resol  Asuntos'!D17/NºAsuntos!G17)-Datos!BF17)/Datos!BF17," - ")</f>
        <v>-0.53846153846153844</v>
      </c>
      <c r="K17" s="462">
        <f>IF(ISNUMBER((((NºAsuntos!C17+NºAsuntos!E17)/NºAsuntos!G17)-Datos!BG17)/Datos!BG17),(((NºAsuntos!C17+NºAsuntos!E17)/NºAsuntos!G17)-Datos!BG17)/Datos!BG17," - ")</f>
        <v>0.13461538461538464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-0.14625850340136054</v>
      </c>
      <c r="C18" s="855">
        <f>IF(ISNUMBER(
   IF(Criterios!B14="SI",(Datos!J18-Datos!T18)/Datos!T18,(Datos!J18+Datos!AD18-(Datos!T18+Datos!AL18))/(Datos!T18+Datos!AL18))
     ),IF(Criterios!B14="SI",(Datos!J18-Datos!T18)/Datos!T18,(Datos!J18+Datos!AD18-(Datos!T18+Datos!AL18))/(Datos!T18+Datos!AL18))," - ")</f>
        <v>-0.15875912408759124</v>
      </c>
      <c r="D18" s="855">
        <f>IF(ISNUMBER(
   IF(Criterios!B14="SI",(Datos!K18-Datos!U18)/Datos!U18,(Datos!K18+Datos!AE18-(Datos!U18+Datos!AM18))/(Datos!U18+Datos!AM18))
     ),IF(Criterios!B14="SI",(Datos!K18-Datos!U18)/Datos!U18,(Datos!K18+Datos!AE18-(Datos!U18+Datos!AM18))/(Datos!U18+Datos!AM18))," - ")</f>
        <v>-0.19834710743801653</v>
      </c>
      <c r="E18" s="855">
        <f>IF(ISNUMBER(
   IF(Criterios!B14="SI",(Datos!L18-Datos!V18)/Datos!V18,(Datos!L18+Datos!AF18-(Datos!V18+Datos!AN18))/(Datos!V18+Datos!AN18))
     ),IF(Criterios!B14="SI",(Datos!L18-Datos!V18)/Datos!V18,(Datos!L18+Datos!AF18-(Datos!V18+Datos!AN18))/(Datos!V18+Datos!AN18))," - ")</f>
        <v>-0.12350119904076738</v>
      </c>
      <c r="F18" s="856">
        <f>IF(ISNUMBER((Datos!M18-Datos!W18)/Datos!W18),(Datos!M18-Datos!W18)/Datos!W18," - ")</f>
        <v>0.29268292682926828</v>
      </c>
      <c r="G18" s="857">
        <f>IF(ISNUMBER((Datos!N18-Datos!X18)/Datos!X18),(Datos!N18-Datos!X18)/Datos!X18," - ")</f>
        <v>-0.21257485029940121</v>
      </c>
      <c r="H18" s="857">
        <f>IF(ISNUMBER(((NºAsuntos!G18/NºAsuntos!E18)-Datos!BD18)/Datos!BD18),((NºAsuntos!G18/NºAsuntos!E18)-Datos!BD18)/Datos!BD18," - ")</f>
        <v>-4.7059034438249582E-2</v>
      </c>
      <c r="I18" s="857">
        <f>IF(ISNUMBER(((NºAsuntos!I18/NºAsuntos!G18)-Datos!BE18)/Datos!BE18),((NºAsuntos!I18/NºAsuntos!G18)-Datos!BE18)/Datos!BE18," - ")</f>
        <v>9.336448367079539E-2</v>
      </c>
      <c r="J18" s="857">
        <f>IF(ISNUMBER((('Resol  Asuntos'!D18/NºAsuntos!G18)-Datos!BF18)/Datos!BF18),(('Resol  Asuntos'!D18/NºAsuntos!G18)-Datos!BF18)/Datos!BF18," - ")</f>
        <v>0.61252200150867508</v>
      </c>
      <c r="K18" s="857">
        <f>IF(ISNUMBER((((NºAsuntos!C18+NºAsuntos!E18)/NºAsuntos!G18)-Datos!BG18)/Datos!BG18),(((NºAsuntos!C18+NºAsuntos!E18)/NºAsuntos!G18)-Datos!BG18)/Datos!BG18," - ")</f>
        <v>5.9000793021411521E-2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3.4370477568740954E-2</v>
      </c>
      <c r="C19" s="802">
        <f>IF(ISNUMBER(
   IF(J_V="SI",(Datos!J19-Datos!T19)/Datos!T19,(Datos!J19+Datos!Z19-(Datos!T19+Datos!AH19))/(Datos!T19+Datos!AH19))
     ),IF(J_V="SI",(Datos!J19-Datos!T19)/Datos!T19,(Datos!J19+Datos!Z19-(Datos!T19+Datos!AH19))/(Datos!T19+Datos!AH19))," - ")</f>
        <v>5.6457849961330242E-2</v>
      </c>
      <c r="D19" s="802">
        <f>IF(ISNUMBER(
   IF(J_V="SI",(Datos!K19-Datos!U19)/Datos!U19,(Datos!K19+Datos!AA19-(Datos!U19+Datos!AI19))/(Datos!U19+Datos!AI19))
     ),IF(J_V="SI",(Datos!K19-Datos!U19)/Datos!U19,(Datos!K19+Datos!AA19-(Datos!U19+Datos!AI19))/(Datos!U19+Datos!AI19))," - ")</f>
        <v>0.16718027734976887</v>
      </c>
      <c r="E19" s="802">
        <f>IF(ISNUMBER(
   IF(J_V="SI",(Datos!L19-Datos!V19)/Datos!V19,(Datos!L19+Datos!AB19-(Datos!V19+Datos!AJ19))/(Datos!V19+Datos!AJ19))
     ),IF(J_V="SI",(Datos!L19-Datos!V19)/Datos!V19,(Datos!L19+Datos!AB19-(Datos!V19+Datos!AJ19))/(Datos!V19+Datos!AJ19))," - ")</f>
        <v>-1.9869942196531792E-2</v>
      </c>
      <c r="F19" s="803">
        <f>IF(ISNUMBER((Datos!M19-Datos!W19)/Datos!W19),(Datos!M19-Datos!W19)/Datos!W19," - ")</f>
        <v>0.69718309859154926</v>
      </c>
      <c r="G19" s="804">
        <f>IF(ISNUMBER((Datos!N19-Datos!X19)/Datos!X19),(Datos!N19-Datos!X19)/Datos!X19," - ")</f>
        <v>5.6313993174061432E-2</v>
      </c>
      <c r="H19" s="805">
        <f>IF(ISNUMBER((Tasas!B19-Datos!BD19)/Datos!BD19),(Tasas!B19-Datos!BD19)/Datos!BD19," - ")</f>
        <v>0.10480534305508862</v>
      </c>
      <c r="I19" s="806">
        <f>IF(ISNUMBER((Tasas!C19-Datos!BE19)/Datos!BE19),(Tasas!C19-Datos!BE19)/Datos!BE19," - ")</f>
        <v>-0.16025820790171497</v>
      </c>
      <c r="J19" s="807">
        <f>IF(ISNUMBER((Tasas!D19-Datos!BF19)/Datos!BF19),(Tasas!D19-Datos!BF19)/Datos!BF19," - ")</f>
        <v>0.25902761007808089</v>
      </c>
      <c r="K19" s="807">
        <f>IF(ISNUMBER((Tasas!E19-Datos!BG19)/Datos!BG19),(Tasas!E19-Datos!BG19)/Datos!BG19," - ")</f>
        <v>-0.10775573490304415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z0e1wdiG1+s+YwOQwDlYHg6KDBVvSf5oZ0D47HsN3saMUp2Es+L630KrTiwA+18cyjQC4nMmlFaVXiJSLU3pA==" saltValue="qdvG7BHlSqTfhvM3yv8V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O PORRIÑO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1.2</v>
      </c>
      <c r="D10" s="444">
        <f>IF(ISNUMBER('Resol  Asuntos'!D10/NºAsuntos!G10),'Resol  Asuntos'!D10/NºAsuntos!G10," - ")</f>
        <v>0.7</v>
      </c>
      <c r="E10" s="445">
        <f>IF(ISNUMBER((NºAsuntos!C10+NºAsuntos!E10)/NºAsuntos!G10),(NºAsuntos!C10+NºAsuntos!E10)/NºAsuntos!G10," - ")</f>
        <v>2.2000000000000002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1.1396648044692737</v>
      </c>
      <c r="C12" s="443">
        <f>IF(ISNUMBER(NºAsuntos!I12/NºAsuntos!G12),NºAsuntos!I12/NºAsuntos!G12," - ")</f>
        <v>1.9313725490196079</v>
      </c>
      <c r="D12" s="444">
        <f>IF(ISNUMBER('Resol  Asuntos'!D12/NºAsuntos!G12),'Resol  Asuntos'!D12/NºAsuntos!G12," - ")</f>
        <v>0.36176470588235293</v>
      </c>
      <c r="E12" s="445">
        <f>IF(ISNUMBER((NºAsuntos!C12+NºAsuntos!E12)/NºAsuntos!G12),(NºAsuntos!C12+NºAsuntos!E12)/NºAsuntos!G12," - ")</f>
        <v>2.9303921568627449</v>
      </c>
      <c r="G12" s="463"/>
    </row>
    <row r="13" spans="1:7" ht="14.25" thickTop="1" thickBot="1">
      <c r="A13" s="848" t="str">
        <f>Datos!A13</f>
        <v>TOTAL</v>
      </c>
      <c r="B13" s="858">
        <f>IF(ISNUMBER(NºAsuntos!G13/NºAsuntos!E13),NºAsuntos!G13/NºAsuntos!E13," - ")</f>
        <v>1.1381215469613259</v>
      </c>
      <c r="C13" s="859">
        <f>IF(ISNUMBER(NºAsuntos!I13/NºAsuntos!G13),NºAsuntos!I13/NºAsuntos!G13," - ")</f>
        <v>1.9242718446601941</v>
      </c>
      <c r="D13" s="860">
        <f>IF(ISNUMBER('Resol  Asuntos'!D13/NºAsuntos!G13),'Resol  Asuntos'!D13/NºAsuntos!G13," - ")</f>
        <v>0.36504854368932038</v>
      </c>
      <c r="E13" s="861">
        <f>IF(ISNUMBER((NºAsuntos!C13+NºAsuntos!E13)/NºAsuntos!G13),(NºAsuntos!C13+NºAsuntos!E13)/NºAsuntos!G13," - ")</f>
        <v>2.9233009708737865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1.0669856459330143</v>
      </c>
      <c r="C16" s="443">
        <f>IF(ISNUMBER(NºAsuntos!I16/NºAsuntos!G16),NºAsuntos!I16/NºAsuntos!G16," - ")</f>
        <v>1.594170403587444</v>
      </c>
      <c r="D16" s="444">
        <f>IF(ISNUMBER('Resol  Asuntos'!D16/NºAsuntos!G16),'Resol  Asuntos'!D16/NºAsuntos!G16," - ")</f>
        <v>0.23094170403587444</v>
      </c>
      <c r="E16" s="445">
        <f>IF(ISNUMBER((NºAsuntos!C16+NºAsuntos!E16)/NºAsuntos!G16),(NºAsuntos!C16+NºAsuntos!E16)/NºAsuntos!G16," - ")</f>
        <v>2.5896860986547083</v>
      </c>
      <c r="G16" s="463"/>
    </row>
    <row r="17" spans="1:7" ht="13.5" thickBot="1">
      <c r="A17" s="402" t="str">
        <f>Datos!A17</f>
        <v>Jdos. Violencia contra la mujer</v>
      </c>
      <c r="B17" s="442">
        <f>IF(ISNUMBER(NºAsuntos!G17/NºAsuntos!E17),NºAsuntos!G17/NºAsuntos!E17," - ")</f>
        <v>0.90697674418604646</v>
      </c>
      <c r="C17" s="443">
        <f>IF(ISNUMBER(NºAsuntos!I17/NºAsuntos!G17),NºAsuntos!I17/NºAsuntos!G17," - ")</f>
        <v>0.51282051282051277</v>
      </c>
      <c r="D17" s="444">
        <f>IF(ISNUMBER('Resol  Asuntos'!D17/NºAsuntos!G17),'Resol  Asuntos'!D17/NºAsuntos!G17," - ")</f>
        <v>7.6923076923076927E-2</v>
      </c>
      <c r="E17" s="445">
        <f>IF(ISNUMBER((NºAsuntos!C17+NºAsuntos!E17)/NºAsuntos!G17),(NºAsuntos!C17+NºAsuntos!E17)/NºAsuntos!G17," - ")</f>
        <v>1.5128205128205128</v>
      </c>
      <c r="G17" s="463"/>
    </row>
    <row r="18" spans="1:7" ht="14.25" thickTop="1" thickBot="1">
      <c r="A18" s="848" t="str">
        <f>Datos!A18</f>
        <v>TOTAL</v>
      </c>
      <c r="B18" s="858">
        <f>IF(ISNUMBER(NºAsuntos!G18/NºAsuntos!E18),NºAsuntos!G18/NºAsuntos!E18," - ")</f>
        <v>1.0520607375271149</v>
      </c>
      <c r="C18" s="859">
        <f>IF(ISNUMBER(NºAsuntos!I18/NºAsuntos!G18),NºAsuntos!I18/NºAsuntos!G18," - ")</f>
        <v>1.5072164948453608</v>
      </c>
      <c r="D18" s="862">
        <f>IF(ISNUMBER('Resol  Asuntos'!D18/NºAsuntos!G18),'Resol  Asuntos'!D18/NºAsuntos!G18," - ")</f>
        <v>0.21855670103092784</v>
      </c>
      <c r="E18" s="861">
        <f>IF(ISNUMBER((NºAsuntos!C18+NºAsuntos!E18)/NºAsuntos!G18),(NºAsuntos!C18+NºAsuntos!E18)/NºAsuntos!G18," - ")</f>
        <v>2.5030927835051546</v>
      </c>
      <c r="G18" s="463"/>
    </row>
    <row r="19" spans="1:7" ht="15.75" customHeight="1" thickTop="1" thickBot="1">
      <c r="A19" s="793" t="str">
        <f>Datos!A19</f>
        <v>TOTAL JURISDICCIONES</v>
      </c>
      <c r="B19" s="808">
        <f>IF(ISNUMBER(NºAsuntos!G19/NºAsuntos!E19),NºAsuntos!G19/NºAsuntos!E19," - ")</f>
        <v>1.1090775988286969</v>
      </c>
      <c r="C19" s="809">
        <f>IF(ISNUMBER(NºAsuntos!I19/NºAsuntos!G19),NºAsuntos!I19/NºAsuntos!G19," - ")</f>
        <v>1.7907590759075909</v>
      </c>
      <c r="D19" s="810">
        <f>IF(ISNUMBER('Resol  Asuntos'!D19/NºAsuntos!G19),'Resol  Asuntos'!D19/NºAsuntos!G19," - ")</f>
        <v>0.31815181518151814</v>
      </c>
      <c r="E19" s="811">
        <f>IF(ISNUMBER((NºAsuntos!C19+NºAsuntos!E19)/NºAsuntos!G19),(NºAsuntos!C19+NºAsuntos!E19)/NºAsuntos!G19," - ")</f>
        <v>2.7887788778877889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oPLrR/8LpaeA8MIjNGCURCu2fj0NLxF/N3+x1gN74zL7gXGtWqIC7vB5+thvQTJNXhzxHLHC0Yh1bUbbT8D0A==" saltValue="57y5J213G1CpbOJXmdGV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O PORRIÑO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12</v>
      </c>
      <c r="AB10" s="334">
        <f>IF(ISNUMBER(Datos!R10),Datos!R10," - ")</f>
        <v>2</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3.6</v>
      </c>
      <c r="AN10" s="244">
        <f>IF(ISNUMBER('Resol  Asuntos'!D10/NºAsuntos!G10),'Resol  Asuntos'!D10/NºAsuntos!G10," - ")</f>
        <v>0.7</v>
      </c>
      <c r="AO10" s="245">
        <f>IF(ISNUMBER((NºAsuntos!C10+NºAsuntos!E10)/NºAsuntos!G10),(NºAsuntos!C10+NºAsuntos!E10)/NºAsuntos!G10," - ")</f>
        <v>2.2000000000000002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341</v>
      </c>
      <c r="Y12" s="334">
        <f t="shared" si="0"/>
        <v>341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369</v>
      </c>
      <c r="AJ12" s="229" t="str">
        <f>IF(ISNUMBER(Datos!BW12),Datos!BW12," - ")</f>
        <v xml:space="preserve"> - </v>
      </c>
      <c r="AK12" s="228" t="str">
        <f>IF(ISNUMBER(Datos!BX12),Datos!BX12," - ")</f>
        <v xml:space="preserve"> - </v>
      </c>
      <c r="AL12" s="243">
        <f>IF(ISNUMBER(NºAsuntos!G12/NºAsuntos!E12),NºAsuntos!G12/NºAsuntos!E12," - ")</f>
        <v>1.1396648044692737</v>
      </c>
      <c r="AM12" s="260">
        <f>IF(ISNUMBER(((NºAsuntos!I12/NºAsuntos!G12)*11)/factor_trimestre),((NºAsuntos!I12/NºAsuntos!G12)*11)/factor_trimestre," - ")</f>
        <v>5.7941176470588243</v>
      </c>
      <c r="AN12" s="244">
        <f>IF(ISNUMBER('Resol  Asuntos'!D12/NºAsuntos!G12),'Resol  Asuntos'!D12/NºAsuntos!G12," - ")</f>
        <v>0.36176470588235293</v>
      </c>
      <c r="AO12" s="245">
        <f>IF(ISNUMBER((NºAsuntos!C12+NºAsuntos!E12)/NºAsuntos!G12),(NºAsuntos!C12+NºAsuntos!E12)/NºAsuntos!G12," - ")</f>
        <v>2.9303921568627449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12</v>
      </c>
      <c r="G13" s="866">
        <f t="shared" si="3"/>
        <v>12</v>
      </c>
      <c r="H13" s="865">
        <f t="shared" si="3"/>
        <v>0</v>
      </c>
      <c r="I13" s="867">
        <f t="shared" si="3"/>
        <v>0</v>
      </c>
      <c r="J13" s="867">
        <f t="shared" si="3"/>
        <v>0</v>
      </c>
      <c r="K13" s="867">
        <f t="shared" si="3"/>
        <v>0</v>
      </c>
      <c r="L13" s="867">
        <f t="shared" si="3"/>
        <v>116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341</v>
      </c>
      <c r="Y13" s="868">
        <f t="shared" si="4"/>
        <v>351</v>
      </c>
      <c r="Z13" s="868">
        <f t="shared" si="4"/>
        <v>0</v>
      </c>
      <c r="AA13" s="868">
        <f t="shared" si="4"/>
        <v>12</v>
      </c>
      <c r="AB13" s="868">
        <f t="shared" si="4"/>
        <v>1479</v>
      </c>
      <c r="AC13" s="868">
        <f t="shared" si="4"/>
        <v>14</v>
      </c>
      <c r="AD13" s="868">
        <f t="shared" si="4"/>
        <v>0</v>
      </c>
      <c r="AE13" s="872">
        <f t="shared" si="4"/>
        <v>0</v>
      </c>
      <c r="AF13" s="865">
        <f t="shared" si="4"/>
        <v>0</v>
      </c>
      <c r="AG13" s="873">
        <f t="shared" si="4"/>
        <v>0</v>
      </c>
      <c r="AH13" s="870">
        <f t="shared" si="4"/>
        <v>0</v>
      </c>
      <c r="AI13" s="865">
        <f t="shared" si="4"/>
        <v>376</v>
      </c>
      <c r="AJ13" s="867">
        <f t="shared" si="4"/>
        <v>0</v>
      </c>
      <c r="AK13" s="870">
        <f>SUBTOTAL(9,AK9:AK12)</f>
        <v>0</v>
      </c>
      <c r="AL13" s="874">
        <f>IF(ISNUMBER(NºAsuntos!G13/NºAsuntos!E13),NºAsuntos!G13/NºAsuntos!E13," - ")</f>
        <v>1.1381215469613259</v>
      </c>
      <c r="AM13" s="874">
        <f>IF(ISNUMBER(((NºAsuntos!I13/NºAsuntos!G13)*11)/factor_trimestre),((NºAsuntos!I13/NºAsuntos!G13)*11)/factor_trimestre," - ")</f>
        <v>5.772815533980582</v>
      </c>
      <c r="AN13" s="875">
        <f>IF(ISNUMBER('Resol  Asuntos'!D13/NºAsuntos!G13),'Resol  Asuntos'!D13/NºAsuntos!G13," - ")</f>
        <v>0.36504854368932038</v>
      </c>
      <c r="AO13" s="876">
        <f>IF(ISNUMBER((NºAsuntos!C13+NºAsuntos!E13)/NºAsuntos!G13),(NºAsuntos!C13+NºAsuntos!E13)/NºAsuntos!G13," - ")</f>
        <v>2.9233009708737865</v>
      </c>
      <c r="AP13" s="877" t="str">
        <f t="shared" si="2"/>
        <v xml:space="preserve"> - </v>
      </c>
      <c r="AQ13" s="877">
        <f>IF(ISNUMBER((H13-W13+K13)/(F13)),(H13-W13+K13)/(F13)," - ")</f>
        <v>-0.83333333333333337</v>
      </c>
      <c r="AR13" s="878">
        <f>IF(ISNUMBER((Datos!P13-Datos!Q13)/(Datos!R13-Datos!P13+Datos!Q13)),(Datos!P13-Datos!Q13)/(Datos!R13-Datos!P13+Datos!Q13)," - ")</f>
        <v>-0.13204225352112675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739</v>
      </c>
      <c r="G16" s="333">
        <f>IF(ISNUMBER(IF(D_I="SI",Datos!I16,Datos!I16+Datos!AC16)),IF(D_I="SI",Datos!I16,Datos!I16+Datos!AC16)," - ")</f>
        <v>737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446</v>
      </c>
      <c r="X16" s="226">
        <f>IF(ISNUMBER(Datos!Q16),Datos!Q16," - ")</f>
        <v>11</v>
      </c>
      <c r="Y16" s="334">
        <f t="shared" ref="Y16:Y17" si="7">SUM(W16:X16)</f>
        <v>457</v>
      </c>
      <c r="Z16" s="335" t="str">
        <f>IF(ISNUMBER(Datos!CC16),Datos!CC16," - ")</f>
        <v xml:space="preserve"> - </v>
      </c>
      <c r="AA16" s="332">
        <f>IF(ISNUMBER(IF(D_I="SI",Datos!L16,Datos!L16+Datos!AF16)),IF(D_I="SI",Datos!L16,Datos!L16+Datos!AF16)," - ")</f>
        <v>711</v>
      </c>
      <c r="AB16" s="334">
        <f>IF(ISNUMBER(Datos!R16),Datos!R16," - ")</f>
        <v>70</v>
      </c>
      <c r="AC16" s="334">
        <f t="shared" si="6"/>
        <v>781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1.0669856459330143</v>
      </c>
      <c r="AM16" s="260">
        <f>IF(ISNUMBER(((NºAsuntos!I16/NºAsuntos!G16)*11)/factor_trimestre),((NºAsuntos!I16/NºAsuntos!G16)*11)/factor_trimestre," - ")</f>
        <v>4.7825112107623324</v>
      </c>
      <c r="AN16" s="244">
        <f>IF(ISNUMBER('Resol  Asuntos'!D16/NºAsuntos!G16),'Resol  Asuntos'!D16/NºAsuntos!G16," - ")</f>
        <v>0.23094170403587444</v>
      </c>
      <c r="AO16" s="245">
        <f>IF(ISNUMBER((NºAsuntos!C16+NºAsuntos!E16)/NºAsuntos!G16),(NºAsuntos!C16+NºAsuntos!E16)/NºAsuntos!G16," - ")</f>
        <v>2.5896860986547083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1</v>
      </c>
      <c r="Y17" s="334">
        <f t="shared" si="7"/>
        <v>40</v>
      </c>
      <c r="Z17" s="335" t="str">
        <f>IF(ISNUMBER(Datos!CC17),Datos!CC17," - ")</f>
        <v xml:space="preserve"> - </v>
      </c>
      <c r="AA17" s="332">
        <f>IF(ISNUMBER(Datos!L17),Datos!L17,"-")</f>
        <v>20</v>
      </c>
      <c r="AB17" s="334">
        <f>IF(ISNUMBER(Datos!R17),Datos!R17," - ")</f>
        <v>1</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0.90697674418604646</v>
      </c>
      <c r="AM17" s="260">
        <f>IF(ISNUMBER(((NºAsuntos!I17/NºAsuntos!G17)*11)/factor_trimestre),((NºAsuntos!I17/NºAsuntos!G17)*11)/factor_trimestre," - ")</f>
        <v>1.5384615384615383</v>
      </c>
      <c r="AN17" s="244">
        <f>IF(ISNUMBER('Resol  Asuntos'!D17/NºAsuntos!G17),'Resol  Asuntos'!D17/NºAsuntos!G17," - ")</f>
        <v>7.6923076923076927E-2</v>
      </c>
      <c r="AO17" s="245">
        <f>IF(ISNUMBER((NºAsuntos!C17+NºAsuntos!E17)/NºAsuntos!G17),(NºAsuntos!C17+NºAsuntos!E17)/NºAsuntos!G17," - ")</f>
        <v>1.5128205128205128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739</v>
      </c>
      <c r="G18" s="866">
        <f>SUBTOTAL(9,G15:G17)</f>
        <v>753</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485</v>
      </c>
      <c r="X18" s="867">
        <f t="shared" si="11"/>
        <v>12</v>
      </c>
      <c r="Y18" s="868">
        <f t="shared" si="11"/>
        <v>497</v>
      </c>
      <c r="Z18" s="868">
        <f t="shared" si="11"/>
        <v>0</v>
      </c>
      <c r="AA18" s="868">
        <f t="shared" si="11"/>
        <v>731</v>
      </c>
      <c r="AB18" s="868">
        <f t="shared" si="11"/>
        <v>71</v>
      </c>
      <c r="AC18" s="868">
        <f t="shared" si="11"/>
        <v>802</v>
      </c>
      <c r="AD18" s="868">
        <f t="shared" si="11"/>
        <v>0</v>
      </c>
      <c r="AE18" s="872">
        <f t="shared" si="11"/>
        <v>0</v>
      </c>
      <c r="AF18" s="865">
        <f t="shared" si="11"/>
        <v>0</v>
      </c>
      <c r="AG18" s="873">
        <f t="shared" si="11"/>
        <v>0</v>
      </c>
      <c r="AH18" s="870">
        <f t="shared" si="11"/>
        <v>0</v>
      </c>
      <c r="AI18" s="865">
        <f t="shared" si="11"/>
        <v>106</v>
      </c>
      <c r="AJ18" s="867">
        <f t="shared" si="11"/>
        <v>0</v>
      </c>
      <c r="AK18" s="870">
        <f t="shared" si="11"/>
        <v>0</v>
      </c>
      <c r="AL18" s="874">
        <f>IF(ISNUMBER(NºAsuntos!G18/NºAsuntos!E18),NºAsuntos!G18/NºAsuntos!E18," - ")</f>
        <v>1.0520607375271149</v>
      </c>
      <c r="AM18" s="874">
        <f>IF(ISNUMBER(((NºAsuntos!I18/NºAsuntos!G18)*11)/factor_trimestre),((NºAsuntos!I18/NºAsuntos!G18)*11)/factor_trimestre," - ")</f>
        <v>4.5216494845360833</v>
      </c>
      <c r="AN18" s="875">
        <f>IF(ISNUMBER('Resol  Asuntos'!D18/NºAsuntos!G18),'Resol  Asuntos'!D18/NºAsuntos!G18," - ")</f>
        <v>0.21855670103092784</v>
      </c>
      <c r="AO18" s="876">
        <f>IF(ISNUMBER((NºAsuntos!C18+NºAsuntos!E18)/NºAsuntos!G18),(NºAsuntos!C18+NºAsuntos!E18)/NºAsuntos!G18," - ")</f>
        <v>2.5030927835051546</v>
      </c>
      <c r="AP18" s="877" t="str">
        <f t="shared" si="2"/>
        <v xml:space="preserve"> - </v>
      </c>
      <c r="AQ18" s="877">
        <f>IF(ISNUMBER((H18-W18+K18)/(F18)),(H18-W18+K18)/(F18)," - ")</f>
        <v>-0.65629228687415431</v>
      </c>
      <c r="AR18" s="878">
        <f>IF(ISNUMBER((Datos!P18-Datos!Q18)/(Datos!R18-Datos!P18+Datos!Q18)),(Datos!P18-Datos!Q18)/(Datos!R18-Datos!P18+Datos!Q18)," - ")</f>
        <v>-1.3888888888888888E-2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751</v>
      </c>
      <c r="G19" s="821">
        <f t="shared" si="13"/>
        <v>765</v>
      </c>
      <c r="H19" s="820">
        <f t="shared" si="13"/>
        <v>0</v>
      </c>
      <c r="I19" s="822">
        <f t="shared" si="13"/>
        <v>0</v>
      </c>
      <c r="J19" s="822">
        <f t="shared" si="13"/>
        <v>0</v>
      </c>
      <c r="K19" s="881">
        <f t="shared" si="13"/>
        <v>0</v>
      </c>
      <c r="L19" s="822">
        <f t="shared" si="13"/>
        <v>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495</v>
      </c>
      <c r="X19" s="821">
        <f t="shared" si="14"/>
        <v>353</v>
      </c>
      <c r="Y19" s="828">
        <f t="shared" si="14"/>
        <v>848</v>
      </c>
      <c r="Z19" s="828">
        <f t="shared" si="14"/>
        <v>0</v>
      </c>
      <c r="AA19" s="828">
        <f t="shared" si="14"/>
        <v>743</v>
      </c>
      <c r="AB19" s="828">
        <f t="shared" si="14"/>
        <v>1550</v>
      </c>
      <c r="AC19" s="828">
        <f t="shared" si="14"/>
        <v>816</v>
      </c>
      <c r="AD19" s="828">
        <f t="shared" si="14"/>
        <v>0</v>
      </c>
      <c r="AE19" s="830">
        <f t="shared" si="14"/>
        <v>0</v>
      </c>
      <c r="AF19" s="831">
        <f t="shared" si="14"/>
        <v>0</v>
      </c>
      <c r="AG19" s="832">
        <f t="shared" si="14"/>
        <v>0</v>
      </c>
      <c r="AH19" s="830">
        <f t="shared" si="14"/>
        <v>0</v>
      </c>
      <c r="AI19" s="820">
        <f t="shared" si="14"/>
        <v>482</v>
      </c>
      <c r="AJ19" s="820">
        <f t="shared" si="14"/>
        <v>0</v>
      </c>
      <c r="AK19" s="830">
        <f t="shared" si="14"/>
        <v>0</v>
      </c>
      <c r="AL19" s="884">
        <f>IF(ISNUMBER(NºAsuntos!G19/NºAsuntos!E19),NºAsuntos!G19/NºAsuntos!E19," - ")</f>
        <v>1.1090775988286969</v>
      </c>
      <c r="AM19" s="885">
        <f>IF(ISNUMBER(((NºAsuntos!I19/NºAsuntos!G19)*11)/factor_trimestre),((NºAsuntos!I19/NºAsuntos!G19)*11)/factor_trimestre," - ")</f>
        <v>5.3722772277227726</v>
      </c>
      <c r="AN19" s="885">
        <f>IF(ISNUMBER('Resol  Asuntos'!D19/NºAsuntos!G19),'Resol  Asuntos'!D19/NºAsuntos!G19," - ")</f>
        <v>0.31815181518151814</v>
      </c>
      <c r="AO19" s="886">
        <f>IF(ISNUMBER((NºAsuntos!C19+NºAsuntos!E19)/NºAsuntos!G19),(NºAsuntos!C19+NºAsuntos!E19)/NºAsuntos!G19," - ")</f>
        <v>2.7887788778877889</v>
      </c>
      <c r="AP19" s="887" t="str">
        <f t="shared" si="2"/>
        <v xml:space="preserve"> - </v>
      </c>
      <c r="AQ19" s="888">
        <f>IF(OR(ISNUMBER(FIND("01",Criterios!A8,1)),ISNUMBER(FIND("02",Criterios!A8,1)),ISNUMBER(FIND("03",Criterios!A8,1)),ISNUMBER(FIND("04",Criterios!A8,1))),(I19-W19+K19)/(F19-K19),(H19-W19+K19)/(F19-K19))</f>
        <v>-0.65912117177097207</v>
      </c>
      <c r="AR19" s="889">
        <f>IF(ISNUMBER((Datos!P19-Datos!Q19)/(Datos!R19-Datos!P19+Datos!Q19)),(Datos!P19-Datos!Q19)/(Datos!R19-Datos!P19+Datos!Q19)," - ")</f>
        <v>-0.12725225225225226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419.73364570085795</v>
      </c>
      <c r="G21" s="253">
        <f>IF(ISNUMBER(STDEV(G8:G18)),STDEV(G8:G18),"-")</f>
        <v>400.79358777305805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244.86833196638557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170.03372214553991</v>
      </c>
      <c r="AJ21" s="252">
        <f t="shared" si="18"/>
        <v>0</v>
      </c>
      <c r="AK21" s="254">
        <f t="shared" si="18"/>
        <v>0</v>
      </c>
      <c r="AL21" s="249">
        <f t="shared" si="18"/>
        <v>8.8375535100432057E-2</v>
      </c>
      <c r="AM21" s="250">
        <f t="shared" si="18"/>
        <v>1.5995183315905548</v>
      </c>
      <c r="AN21" s="250">
        <f t="shared" si="18"/>
        <v>0.21227250610191931</v>
      </c>
      <c r="AO21" s="251">
        <f t="shared" si="18"/>
        <v>0.53247548136890244</v>
      </c>
      <c r="AP21" s="291" t="str">
        <f t="shared" si="18"/>
        <v>-</v>
      </c>
      <c r="AQ21" s="292">
        <f t="shared" si="18"/>
        <v>0.12518692449964747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M8vSki5ZFkFfz686UnEZRxTcDPzqTE0X984gToRPd0rjJ+HjzTK/HKC46pxn6mqnmOjoEcHe52RKBPJiyq0Og==" saltValue="iQri1NponnFVEeX8ufMic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O PORRIÑO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-0.36842105263157893</v>
      </c>
      <c r="E10" s="348">
        <f>IF(ISNUMBER((Datos!J10-Datos!T10)/Datos!T10),(Datos!J10-Datos!T10)/Datos!T10," - ")</f>
        <v>1</v>
      </c>
      <c r="F10" s="348">
        <f>IF(ISNUMBER((Datos!K10-Datos!U10)/Datos!U10),(Datos!K10-Datos!U10)/Datos!U10," - ")</f>
        <v>-0.16666666666666666</v>
      </c>
      <c r="G10" s="349">
        <f>IF(ISNUMBER((Datos!L10-Datos!V10)/Datos!V10),(Datos!L10-Datos!V10)/Datos!V10," - ")</f>
        <v>0</v>
      </c>
      <c r="H10" s="230">
        <f>IF(ISNUMBER((Datos!M10-Datos!W10)/Datos!W10),(Datos!M10-Datos!W10)/Datos!W10," - ")</f>
        <v>1.3333333333333333</v>
      </c>
      <c r="I10" s="350">
        <f>IF(ISNUMBER((Tasas!C10-Datos!BE10)/Datos!BE10),(Tasas!C10-Datos!BE10)/Datos!BE10," - ")</f>
        <v>0.19999999999999996</v>
      </c>
      <c r="J10" s="349">
        <f>IF(ISNUMBER((Tasas!D10-Datos!BF10)/Datos!BF10),(Tasas!D10-Datos!BF10)/Datos!BF10," - ")</f>
        <v>1.7999999999999998</v>
      </c>
      <c r="K10" s="351">
        <f>IF(ISNUMBER((Tasas!E10-Datos!BG10)/Datos!BG10),(Tasas!E10-Datos!BG10)/Datos!BG10," - ")</f>
        <v>0.10000000000000009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0.85427135678391963</v>
      </c>
      <c r="I12" s="350">
        <f>IF(ISNUMBER((Tasas!C12-Datos!BE12)/Datos!BE12),(Tasas!C12-Datos!BE12)/Datos!BE12," - ")</f>
        <v>-0.31567913325579977</v>
      </c>
      <c r="J12" s="349">
        <f>IF(ISNUMBER((Tasas!D12-Datos!BF12)/Datos!BF12),(Tasas!D12-Datos!BF12)/Datos!BF12," - ")</f>
        <v>1.3834422657952053E-2</v>
      </c>
      <c r="K12" s="351">
        <f>IF(ISNUMBER((Tasas!E12-Datos!BG12)/Datos!BG12),(Tasas!E12-Datos!BG12)/Datos!BG12," - ")</f>
        <v>-0.23334726898827154</v>
      </c>
      <c r="M12" t="e">
        <f>IF(Monitorios="SI",Datos!CE12,0)</f>
        <v>#REF!</v>
      </c>
      <c r="N12" t="e">
        <f>IF(Monitorios="SI",Datos!CF12,0)</f>
        <v>#REF!</v>
      </c>
      <c r="O12" t="e">
        <f>IF(Monitorios="SI",Datos!CG12,0)</f>
        <v>#REF!</v>
      </c>
      <c r="P12" t="e">
        <f>IF(Monitorios="SI",Datos!CH12,0)</f>
        <v>#REF!</v>
      </c>
      <c r="Q12">
        <f>IF(J_V="SI",0,Datos!AG12)</f>
        <v>23</v>
      </c>
      <c r="R12">
        <f>IF(J_V="SI",0,Datos!AH12)</f>
        <v>72</v>
      </c>
      <c r="S12">
        <f>IF(J_V="SI",0,Datos!AI12)</f>
        <v>48</v>
      </c>
      <c r="T12">
        <f>IF(J_V="SI",0,Datos!AJ12)</f>
        <v>47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0.86138613861386137</v>
      </c>
      <c r="I13" s="357">
        <f>IF(ISNUMBER((Tasas!C13-Datos!BE13)/Datos!BE13),(Tasas!C13-Datos!BE13)/Datos!BE13," - ")</f>
        <v>-0.31048583849559747</v>
      </c>
      <c r="J13" s="355">
        <f>IF(ISNUMBER((Tasas!D13-Datos!BF13)/Datos!BF13),(Tasas!D13-Datos!BF13)/Datos!BF13," - ")</f>
        <v>2.836845844186588E-2</v>
      </c>
      <c r="K13" s="358">
        <f>IF(ISNUMBER((Tasas!E13-Datos!BG13)/Datos!BG13),(Tasas!E13-Datos!BG13)/Datos!BG13," - ")</f>
        <v>-0.22883609713911915</v>
      </c>
      <c r="M13" t="e">
        <f>IF(Monitorios="SI",Datos!CE13,0)</f>
        <v>#REF!</v>
      </c>
      <c r="N13" t="e">
        <f>IF(Monitorios="SI",Datos!CF13,0)</f>
        <v>#REF!</v>
      </c>
      <c r="O13" t="e">
        <f>IF(Monitorios="SI",Datos!CG13,0)</f>
        <v>#REF!</v>
      </c>
      <c r="P13" t="e">
        <f>IF(Monitorios="SI",Datos!CH13,0)</f>
        <v>#REF!</v>
      </c>
      <c r="Q13">
        <f>IF(J_V="SI",0,Datos!AG13)</f>
        <v>23</v>
      </c>
      <c r="R13">
        <f>IF(J_V="SI",0,Datos!AH13)</f>
        <v>72</v>
      </c>
      <c r="S13">
        <f>IF(J_V="SI",0,Datos!AI13)</f>
        <v>48</v>
      </c>
      <c r="T13">
        <f>IF(J_V="SI",0,Datos!AJ13)</f>
        <v>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-0.13599062133645956</v>
      </c>
      <c r="E16" s="348">
        <f>IF(ISNUMBER(
   IF(D_I="SI",(Datos!J16-Datos!T16)/Datos!T16,(Datos!J16+Datos!AD16-(Datos!T16+Datos!AL16))/(Datos!T16+Datos!AL16))
     ),IF(D_I="SI",(Datos!J16-Datos!T16)/Datos!T16,(Datos!J16+Datos!AD16-(Datos!T16+Datos!AL16))/(Datos!T16+Datos!AL16))," - ")</f>
        <v>-0.17227722772277226</v>
      </c>
      <c r="F16" s="348">
        <f>IF(ISNUMBER(
   IF(D_I="SI",(Datos!K16-Datos!U16)/Datos!U16,(Datos!K16+Datos!AE16-(Datos!U16+Datos!AM16))/(Datos!U16+Datos!AM16))
     ),IF(D_I="SI",(Datos!K16-Datos!U16)/Datos!U16,(Datos!K16+Datos!AE16-(Datos!U16+Datos!AM16))/(Datos!U16+Datos!AM16))," - ")</f>
        <v>-0.19056261343012704</v>
      </c>
      <c r="G16" s="349">
        <f>IF(ISNUMBER(
   IF(D_I="SI",(Datos!L16-Datos!V16)/Datos!V16,(Datos!L16+Datos!AF16-(Datos!V16+Datos!AN16))/(Datos!V16+Datos!AN16))
     ),IF(D_I="SI",(Datos!L16-Datos!V16)/Datos!V16,(Datos!L16+Datos!AF16-(Datos!V16+Datos!AN16))/(Datos!V16+Datos!AN16))," - ")</f>
        <v>-0.1276073619631902</v>
      </c>
      <c r="H16" s="230">
        <f>IF(ISNUMBER((Datos!M16-Datos!W16)/Datos!W16),(Datos!M16-Datos!W16)/Datos!W16," - ")</f>
        <v>0.41095890410958902</v>
      </c>
      <c r="I16" s="350">
        <f>IF(ISNUMBER((Tasas!C16-Datos!BE16)/Datos!BE16),(Tasas!C16-Datos!BE16)/Datos!BE16," - ")</f>
        <v>7.7776555063413022E-2</v>
      </c>
      <c r="J16" s="349">
        <f>IF(ISNUMBER((Tasas!D16-Datos!BF16)/Datos!BF16),(Tasas!D16-Datos!BF16)/Datos!BF16," - ")</f>
        <v>0.74313532772283308</v>
      </c>
      <c r="K16" s="351">
        <f>IF(ISNUMBER((Tasas!E16-Datos!BG16)/Datos!BG16),(Tasas!E16-Datos!BG16)/Datos!BG16," - ")</f>
        <v>5.0748925153714416E-2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-0.44827586206896552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-0.27777777777777779</v>
      </c>
      <c r="G17" s="349">
        <f>IF(ISNUMBER(
   IF(D_I="SI",(Datos!L17-Datos!V17)/Datos!V17,(Datos!L17+Datos!AF17-(Datos!V17+Datos!AN17))/(Datos!V17+Datos!AN17))
     ),IF(D_I="SI",(Datos!L17-Datos!V17)/Datos!V17,(Datos!L17+Datos!AF17-(Datos!V17+Datos!AN17))/(Datos!V17+Datos!AN17))," - ")</f>
        <v>5.2631578947368418E-2</v>
      </c>
      <c r="H17" s="230">
        <f>IF(ISNUMBER((Datos!M17-Datos!W17)/Datos!W17),(Datos!M17-Datos!W17)/Datos!W17," - ")</f>
        <v>-0.66666666666666663</v>
      </c>
      <c r="I17" s="350">
        <f>IF(ISNUMBER((Tasas!C17-Datos!BE17)/Datos!BE17),(Tasas!C17-Datos!BE17)/Datos!BE17," - ")</f>
        <v>0.45748987854250994</v>
      </c>
      <c r="J17" s="349">
        <f>IF(ISNUMBER((Tasas!D17-Datos!BF17)/Datos!BF17),(Tasas!D17-Datos!BF17)/Datos!BF17," - ")</f>
        <v>-0.53846153846153844</v>
      </c>
      <c r="K17" s="351">
        <f>IF(ISNUMBER((Tasas!E17-Datos!BG17)/Datos!BG17),(Tasas!E17-Datos!BG17)/Datos!BG17," - ")</f>
        <v>0.13461538461538464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-0.14625850340136054</v>
      </c>
      <c r="E18" s="354">
        <f>IF(ISNUMBER(
   IF(D_I="SI",(Datos!J18-Datos!T18)/Datos!T18,(Datos!J18+Datos!AD18-(Datos!T18+Datos!AL18))/(Datos!T18+Datos!AL18))
     ),IF(D_I="SI",(Datos!J18-Datos!T18)/Datos!T18,(Datos!J18+Datos!AD18-(Datos!T18+Datos!AL18))/(Datos!T18+Datos!AL18))," - ")</f>
        <v>-0.15875912408759124</v>
      </c>
      <c r="F18" s="354">
        <f>IF(ISNUMBER(
   IF(D_I="SI",(Datos!K18-Datos!U18)/Datos!U18,(Datos!K18+Datos!AE18-(Datos!U18+Datos!AM18))/(Datos!U18+Datos!AM18))
     ),IF(D_I="SI",(Datos!K18-Datos!U18)/Datos!U18,(Datos!K18+Datos!AE18-(Datos!U18+Datos!AM18))/(Datos!U18+Datos!AM18))," - ")</f>
        <v>-0.19834710743801653</v>
      </c>
      <c r="G18" s="355">
        <f>IF(ISNUMBER(
   IF(D_I="SI",(Datos!L18-Datos!V18)/Datos!V18,(Datos!L18+Datos!AF18-(Datos!V18+Datos!AN18))/(Datos!V18+Datos!AN18))
     ),IF(D_I="SI",(Datos!L18-Datos!V18)/Datos!V18,(Datos!L18+Datos!AF18-(Datos!V18+Datos!AN18))/(Datos!V18+Datos!AN18))," - ")</f>
        <v>-0.12350119904076738</v>
      </c>
      <c r="H18" s="356">
        <f>IF(ISNUMBER((Datos!M18-Datos!W18)/Datos!W18),(Datos!M18-Datos!W18)/Datos!W18," - ")</f>
        <v>0.29268292682926828</v>
      </c>
      <c r="I18" s="357">
        <f>IF(ISNUMBER((Tasas!C18-Datos!BE18)/Datos!BE18),(Tasas!C18-Datos!BE18)/Datos!BE18," - ")</f>
        <v>9.336448367079539E-2</v>
      </c>
      <c r="J18" s="355">
        <f>IF(ISNUMBER((Tasas!D18-Datos!BF18)/Datos!BF18),(Tasas!D18-Datos!BF18)/Datos!BF18," - ")</f>
        <v>0.61252200150867508</v>
      </c>
      <c r="K18" s="358">
        <f>IF(ISNUMBER((Tasas!E18-Datos!BG18)/Datos!BG18),(Tasas!E18-Datos!BG18)/Datos!BG18," - ")</f>
        <v>5.9000793021411521E-2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3.4370477568740954E-2</v>
      </c>
      <c r="E19" s="363">
        <f>IF(ISNUMBER(
   IF(J_V="SI",(Datos!J19-Datos!T19)/Datos!T19,(Datos!J19+Datos!Z19-(Datos!T19+Datos!AH19))/(Datos!T19+Datos!AH19))
     ),IF(J_V="SI",(Datos!J19-Datos!T19)/Datos!T19,(Datos!J19+Datos!Z19-(Datos!T19+Datos!AH19))/(Datos!T19+Datos!AH19))," - ")</f>
        <v>5.6457849961330242E-2</v>
      </c>
      <c r="F19" s="363">
        <f>IF(ISNUMBER(
   IF(J_V="SI",(Datos!K19-Datos!U19)/Datos!U19,(Datos!K19+Datos!AA19-(Datos!U19+Datos!AI19))/(Datos!U19+Datos!AI19))
     ),IF(J_V="SI",(Datos!K19-Datos!U19)/Datos!U19,(Datos!K19+Datos!AA19-(Datos!U19+Datos!AI19))/(Datos!U19+Datos!AI19))," - ")</f>
        <v>0.16718027734976887</v>
      </c>
      <c r="G19" s="364">
        <f>IF(ISNUMBER(
   IF(J_V="SI",(Datos!L19-Datos!V19)/Datos!V19,(Datos!L19+Datos!AB19-(Datos!V19+Datos!AJ19))/(Datos!V19+Datos!AJ19))
     ),IF(J_V="SI",(Datos!L19-Datos!V19)/Datos!V19,(Datos!L19+Datos!AB19-(Datos!V19+Datos!AJ19))/(Datos!V19+Datos!AJ19))," - ")</f>
        <v>-1.9869942196531792E-2</v>
      </c>
      <c r="H19" s="365">
        <f>IF(ISNUMBER((Datos!M19-Datos!W19)/Datos!W19),(Datos!M19-Datos!W19)/Datos!W19," - ")</f>
        <v>0.69718309859154926</v>
      </c>
      <c r="I19" s="362">
        <f>IF(ISNUMBER((Tasas!C19-Datos!BE19)/Datos!BE19),(Tasas!C19-Datos!BE19)/Datos!BE19," - ")</f>
        <v>-0.16025820790171497</v>
      </c>
      <c r="J19" s="363">
        <f>IF(ISNUMBER((Tasas!D19-Datos!BF19)/Datos!BF19),(Tasas!D19-Datos!BF19)/Datos!BF19," - ")</f>
        <v>0.25902761007808089</v>
      </c>
      <c r="K19" s="364">
        <f>IF(ISNUMBER((Tasas!E19-Datos!BG19)/Datos!BG19),(Tasas!E19-Datos!BG19)/Datos!BG19," - ")</f>
        <v>-0.10775573490304415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0.15774422339682273</v>
      </c>
      <c r="E21" s="278">
        <f t="shared" si="1"/>
        <v>0.56065610731924498</v>
      </c>
      <c r="F21" s="278">
        <f t="shared" si="1"/>
        <v>4.8215367744894821E-2</v>
      </c>
      <c r="G21" s="279">
        <f t="shared" si="1"/>
        <v>9.029210004688866E-2</v>
      </c>
      <c r="H21" s="285">
        <f t="shared" si="1"/>
        <v>0.68721767796944533</v>
      </c>
      <c r="I21" s="277">
        <f t="shared" si="1"/>
        <v>0.3010932755345726</v>
      </c>
      <c r="J21" s="278">
        <f t="shared" si="1"/>
        <v>0.80989341982820562</v>
      </c>
      <c r="K21" s="279">
        <f t="shared" si="1"/>
        <v>0.16654202604273199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A++hJNj3CuufSehG7e/eocnEZdfXN888TlnBXHU5W6YBJlCO9ZrkMuexCaT1S/pSipdt06tTrxCMl448rr0Iw==" saltValue="5olliG0b5ThKORe5tjgBF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